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2/"/>
    </mc:Choice>
  </mc:AlternateContent>
  <xr:revisionPtr revIDLastSave="67" documentId="8_{20B5B99C-B995-4A66-B5C9-40B697E96B99}" xr6:coauthVersionLast="47" xr6:coauthVersionMax="47" xr10:uidLastSave="{1C0D8153-B99A-4917-B619-286F257FEE32}"/>
  <bookViews>
    <workbookView xWindow="-120" yWindow="-120" windowWidth="29040" windowHeight="15720" xr2:uid="{EE58753F-961E-4C27-8C53-2D3188D2B8F1}"/>
  </bookViews>
  <sheets>
    <sheet name="Hoja1" sheetId="1" r:id="rId1"/>
  </sheets>
  <externalReferences>
    <externalReference r:id="rId2"/>
  </externalReference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3" i="1" l="1"/>
  <c r="G203" i="1"/>
  <c r="E203" i="1" s="1"/>
  <c r="H202" i="1"/>
  <c r="G202" i="1"/>
  <c r="E202" i="1"/>
  <c r="H201" i="1"/>
  <c r="G201" i="1"/>
  <c r="E201" i="1"/>
  <c r="H200" i="1"/>
  <c r="G200" i="1"/>
  <c r="E200" i="1"/>
  <c r="H199" i="1"/>
  <c r="G199" i="1"/>
  <c r="E199" i="1"/>
  <c r="J199" i="1" s="1"/>
  <c r="K199" i="1" s="1"/>
  <c r="J198" i="1"/>
  <c r="H198" i="1"/>
  <c r="G198" i="1"/>
  <c r="E198" i="1"/>
  <c r="J197" i="1"/>
  <c r="H197" i="1"/>
  <c r="G197" i="1"/>
  <c r="E197" i="1"/>
  <c r="H196" i="1"/>
  <c r="G196" i="1"/>
  <c r="E196" i="1"/>
  <c r="H195" i="1"/>
  <c r="G195" i="1"/>
  <c r="E195" i="1"/>
  <c r="J195" i="1" s="1"/>
  <c r="K195" i="1" s="1"/>
  <c r="H194" i="1"/>
  <c r="G194" i="1"/>
  <c r="E194" i="1"/>
  <c r="H193" i="1"/>
  <c r="G193" i="1"/>
  <c r="E193" i="1"/>
  <c r="H192" i="1"/>
  <c r="G192" i="1"/>
  <c r="E192" i="1"/>
  <c r="J192" i="1" s="1"/>
  <c r="K192" i="1" s="1"/>
  <c r="H191" i="1"/>
  <c r="G191" i="1"/>
  <c r="E191" i="1"/>
  <c r="J190" i="1"/>
  <c r="K190" i="1" s="1"/>
  <c r="H190" i="1"/>
  <c r="G190" i="1"/>
  <c r="E190" i="1"/>
  <c r="H189" i="1"/>
  <c r="G189" i="1"/>
  <c r="E189" i="1"/>
  <c r="H188" i="1"/>
  <c r="G188" i="1"/>
  <c r="E188" i="1"/>
  <c r="J188" i="1" s="1"/>
  <c r="K188" i="1" s="1"/>
  <c r="H187" i="1"/>
  <c r="G187" i="1"/>
  <c r="E187" i="1"/>
  <c r="H186" i="1"/>
  <c r="G186" i="1"/>
  <c r="E186" i="1"/>
  <c r="H185" i="1"/>
  <c r="E185" i="1" s="1"/>
  <c r="G185" i="1"/>
  <c r="H184" i="1"/>
  <c r="G184" i="1"/>
  <c r="E184" i="1"/>
  <c r="H183" i="1"/>
  <c r="G183" i="1"/>
  <c r="E183" i="1" s="1"/>
  <c r="H182" i="1"/>
  <c r="G182" i="1"/>
  <c r="E182" i="1"/>
  <c r="H181" i="1"/>
  <c r="G181" i="1"/>
  <c r="E181" i="1"/>
  <c r="J181" i="1" s="1"/>
  <c r="K181" i="1" s="1"/>
  <c r="H180" i="1"/>
  <c r="E180" i="1" s="1"/>
  <c r="G180" i="1"/>
  <c r="H179" i="1"/>
  <c r="G179" i="1"/>
  <c r="E179" i="1"/>
  <c r="J179" i="1" s="1"/>
  <c r="K179" i="1" s="1"/>
  <c r="H178" i="1"/>
  <c r="G178" i="1"/>
  <c r="E178" i="1"/>
  <c r="H177" i="1"/>
  <c r="G177" i="1"/>
  <c r="H176" i="1"/>
  <c r="G176" i="1"/>
  <c r="E176" i="1"/>
  <c r="H175" i="1"/>
  <c r="G175" i="1"/>
  <c r="E175" i="1"/>
  <c r="H174" i="1"/>
  <c r="G174" i="1"/>
  <c r="E174" i="1"/>
  <c r="J173" i="1"/>
  <c r="H173" i="1"/>
  <c r="G173" i="1"/>
  <c r="E173" i="1"/>
  <c r="H172" i="1"/>
  <c r="G172" i="1"/>
  <c r="E172" i="1"/>
  <c r="J171" i="1"/>
  <c r="H171" i="1"/>
  <c r="G171" i="1"/>
  <c r="E171" i="1"/>
  <c r="K171" i="1" s="1"/>
  <c r="H170" i="1"/>
  <c r="G170" i="1"/>
  <c r="E170" i="1"/>
  <c r="J169" i="1"/>
  <c r="K169" i="1" s="1"/>
  <c r="H169" i="1"/>
  <c r="G169" i="1"/>
  <c r="E169" i="1"/>
  <c r="H168" i="1"/>
  <c r="G168" i="1"/>
  <c r="K167" i="1"/>
  <c r="H167" i="1"/>
  <c r="G167" i="1"/>
  <c r="J166" i="1"/>
  <c r="K166" i="1" s="1"/>
  <c r="H166" i="1"/>
  <c r="G166" i="1"/>
  <c r="H165" i="1"/>
  <c r="G165" i="1"/>
  <c r="E165" i="1"/>
  <c r="J165" i="1" s="1"/>
  <c r="J164" i="1"/>
  <c r="K164" i="1" s="1"/>
  <c r="H164" i="1"/>
  <c r="G164" i="1"/>
  <c r="E164" i="1"/>
  <c r="H163" i="1"/>
  <c r="G163" i="1"/>
  <c r="E163" i="1"/>
  <c r="H162" i="1"/>
  <c r="G162" i="1"/>
  <c r="E162" i="1" s="1"/>
  <c r="H161" i="1"/>
  <c r="G161" i="1"/>
  <c r="H160" i="1"/>
  <c r="G160" i="1"/>
  <c r="E160" i="1" s="1"/>
  <c r="H159" i="1"/>
  <c r="G159" i="1"/>
  <c r="E159" i="1" s="1"/>
  <c r="H158" i="1"/>
  <c r="G158" i="1"/>
  <c r="K157" i="1"/>
  <c r="J157" i="1"/>
  <c r="H157" i="1"/>
  <c r="G157" i="1"/>
  <c r="E157" i="1"/>
  <c r="J156" i="1"/>
  <c r="K156" i="1" s="1"/>
  <c r="H156" i="1"/>
  <c r="G156" i="1"/>
  <c r="H155" i="1"/>
  <c r="G155" i="1"/>
  <c r="H154" i="1"/>
  <c r="E154" i="1" s="1"/>
  <c r="G154" i="1"/>
  <c r="K153" i="1"/>
  <c r="J153" i="1"/>
  <c r="H153" i="1"/>
  <c r="G153" i="1"/>
  <c r="H152" i="1"/>
  <c r="G152" i="1"/>
  <c r="E152" i="1" s="1"/>
  <c r="K151" i="1"/>
  <c r="J150" i="1"/>
  <c r="K150" i="1" s="1"/>
  <c r="H150" i="1"/>
  <c r="G150" i="1"/>
  <c r="H149" i="1"/>
  <c r="G149" i="1"/>
  <c r="E149" i="1"/>
  <c r="H148" i="1"/>
  <c r="G148" i="1"/>
  <c r="E148" i="1"/>
  <c r="J148" i="1" s="1"/>
  <c r="K148" i="1" s="1"/>
  <c r="G147" i="1"/>
  <c r="E147" i="1"/>
  <c r="H146" i="1"/>
  <c r="G146" i="1"/>
  <c r="E146" i="1" s="1"/>
  <c r="K145" i="1"/>
  <c r="J145" i="1"/>
  <c r="H145" i="1"/>
  <c r="G145" i="1"/>
  <c r="K144" i="1"/>
  <c r="H144" i="1"/>
  <c r="E144" i="1"/>
  <c r="H143" i="1"/>
  <c r="G143" i="1"/>
  <c r="E142" i="1"/>
  <c r="J141" i="1"/>
  <c r="K141" i="1" s="1"/>
  <c r="H141" i="1"/>
  <c r="G141" i="1"/>
  <c r="H140" i="1"/>
  <c r="G140" i="1"/>
  <c r="E140" i="1"/>
  <c r="J140" i="1" s="1"/>
  <c r="K140" i="1" s="1"/>
  <c r="J139" i="1"/>
  <c r="K139" i="1" s="1"/>
  <c r="J138" i="1"/>
  <c r="K138" i="1" s="1"/>
  <c r="H138" i="1"/>
  <c r="G138" i="1"/>
  <c r="K137" i="1"/>
  <c r="J137" i="1"/>
  <c r="H137" i="1"/>
  <c r="G137" i="1"/>
  <c r="H136" i="1"/>
  <c r="G136" i="1"/>
  <c r="E136" i="1"/>
  <c r="J136" i="1" s="1"/>
  <c r="K136" i="1" s="1"/>
  <c r="H135" i="1"/>
  <c r="G135" i="1"/>
  <c r="H134" i="1"/>
  <c r="G134" i="1"/>
  <c r="E134" i="1"/>
  <c r="J134" i="1" s="1"/>
  <c r="K134" i="1" s="1"/>
  <c r="H133" i="1"/>
  <c r="G133" i="1"/>
  <c r="E133" i="1" s="1"/>
  <c r="H132" i="1"/>
  <c r="E132" i="1" s="1"/>
  <c r="G132" i="1"/>
  <c r="H131" i="1"/>
  <c r="G131" i="1"/>
  <c r="J130" i="1"/>
  <c r="K130" i="1" s="1"/>
  <c r="H130" i="1"/>
  <c r="G130" i="1"/>
  <c r="J129" i="1"/>
  <c r="K129" i="1" s="1"/>
  <c r="H129" i="1"/>
  <c r="G129" i="1"/>
  <c r="H128" i="1"/>
  <c r="G128" i="1"/>
  <c r="E128" i="1"/>
  <c r="J127" i="1"/>
  <c r="K127" i="1" s="1"/>
  <c r="H127" i="1"/>
  <c r="G127" i="1"/>
  <c r="J126" i="1"/>
  <c r="K126" i="1" s="1"/>
  <c r="H126" i="1"/>
  <c r="G126" i="1"/>
  <c r="H125" i="1"/>
  <c r="G125" i="1"/>
  <c r="E125" i="1"/>
  <c r="H124" i="1"/>
  <c r="G124" i="1"/>
  <c r="E124" i="1"/>
  <c r="H123" i="1"/>
  <c r="G123" i="1"/>
  <c r="E123" i="1"/>
  <c r="H122" i="1"/>
  <c r="E122" i="1" s="1"/>
  <c r="G122" i="1"/>
  <c r="H121" i="1"/>
  <c r="G121" i="1"/>
  <c r="H120" i="1"/>
  <c r="G120" i="1"/>
  <c r="K119" i="1"/>
  <c r="H119" i="1"/>
  <c r="G119" i="1"/>
  <c r="K118" i="1"/>
  <c r="H118" i="1"/>
  <c r="G118" i="1"/>
  <c r="E118" i="1"/>
  <c r="H117" i="1"/>
  <c r="G117" i="1"/>
  <c r="H116" i="1"/>
  <c r="G116" i="1"/>
  <c r="E116" i="1"/>
  <c r="H115" i="1"/>
  <c r="G115" i="1"/>
  <c r="E115" i="1"/>
  <c r="H114" i="1"/>
  <c r="G114" i="1"/>
  <c r="E114" i="1"/>
  <c r="J114" i="1" s="1"/>
  <c r="K114" i="1" s="1"/>
  <c r="H113" i="1"/>
  <c r="G113" i="1"/>
  <c r="E113" i="1"/>
  <c r="J113" i="1" s="1"/>
  <c r="K113" i="1" s="1"/>
  <c r="J112" i="1"/>
  <c r="H112" i="1"/>
  <c r="G112" i="1"/>
  <c r="E112" i="1"/>
  <c r="H111" i="1"/>
  <c r="G111" i="1"/>
  <c r="E111" i="1" s="1"/>
  <c r="H110" i="1"/>
  <c r="G110" i="1"/>
  <c r="E110" i="1"/>
  <c r="H109" i="1"/>
  <c r="G109" i="1"/>
  <c r="E109" i="1"/>
  <c r="H108" i="1"/>
  <c r="G108" i="1"/>
  <c r="E108" i="1"/>
  <c r="J108" i="1" s="1"/>
  <c r="K108" i="1" s="1"/>
  <c r="J107" i="1"/>
  <c r="K107" i="1" s="1"/>
  <c r="H107" i="1"/>
  <c r="G107" i="1"/>
  <c r="H106" i="1"/>
  <c r="G106" i="1"/>
  <c r="J105" i="1"/>
  <c r="K105" i="1" s="1"/>
  <c r="H105" i="1"/>
  <c r="G105" i="1"/>
  <c r="J104" i="1"/>
  <c r="K104" i="1" s="1"/>
  <c r="H104" i="1"/>
  <c r="G104" i="1"/>
  <c r="J103" i="1"/>
  <c r="K103" i="1" s="1"/>
  <c r="H103" i="1"/>
  <c r="G103" i="1"/>
  <c r="H102" i="1"/>
  <c r="G102" i="1"/>
  <c r="E102" i="1"/>
  <c r="H101" i="1"/>
  <c r="G101" i="1"/>
  <c r="E101" i="1"/>
  <c r="K100" i="1"/>
  <c r="J100" i="1"/>
  <c r="H100" i="1"/>
  <c r="G100" i="1"/>
  <c r="H99" i="1"/>
  <c r="G99" i="1"/>
  <c r="E99" i="1"/>
  <c r="J99" i="1" s="1"/>
  <c r="K99" i="1" s="1"/>
  <c r="H98" i="1"/>
  <c r="G98" i="1"/>
  <c r="E98" i="1" s="1"/>
  <c r="H97" i="1"/>
  <c r="G97" i="1"/>
  <c r="E97" i="1"/>
  <c r="H96" i="1"/>
  <c r="E96" i="1" s="1"/>
  <c r="G96" i="1"/>
  <c r="H95" i="1"/>
  <c r="G95" i="1"/>
  <c r="E95" i="1"/>
  <c r="J94" i="1"/>
  <c r="H94" i="1"/>
  <c r="G94" i="1"/>
  <c r="E94" i="1"/>
  <c r="J93" i="1"/>
  <c r="K93" i="1" s="1"/>
  <c r="H93" i="1"/>
  <c r="G93" i="1"/>
  <c r="H92" i="1"/>
  <c r="G92" i="1"/>
  <c r="E92" i="1" s="1"/>
  <c r="H91" i="1"/>
  <c r="G91" i="1"/>
  <c r="E91" i="1" s="1"/>
  <c r="J90" i="1"/>
  <c r="K90" i="1" s="1"/>
  <c r="H90" i="1"/>
  <c r="G90" i="1"/>
  <c r="J89" i="1"/>
  <c r="K89" i="1" s="1"/>
  <c r="H89" i="1"/>
  <c r="G89" i="1"/>
  <c r="E89" i="1"/>
  <c r="J88" i="1"/>
  <c r="K88" i="1" s="1"/>
  <c r="H88" i="1"/>
  <c r="G88" i="1"/>
  <c r="H87" i="1"/>
  <c r="G87" i="1"/>
  <c r="E87" i="1"/>
  <c r="H86" i="1"/>
  <c r="G86" i="1"/>
  <c r="E86" i="1"/>
  <c r="J86" i="1" s="1"/>
  <c r="K86" i="1" s="1"/>
  <c r="H85" i="1"/>
  <c r="G85" i="1"/>
  <c r="E85" i="1"/>
  <c r="J85" i="1" s="1"/>
  <c r="K85" i="1" s="1"/>
  <c r="H84" i="1"/>
  <c r="G84" i="1"/>
  <c r="E84" i="1"/>
  <c r="J84" i="1" s="1"/>
  <c r="K84" i="1" s="1"/>
  <c r="J83" i="1"/>
  <c r="K83" i="1" s="1"/>
  <c r="H83" i="1"/>
  <c r="G83" i="1"/>
  <c r="E83" i="1"/>
  <c r="H82" i="1"/>
  <c r="G82" i="1"/>
  <c r="E82" i="1"/>
  <c r="H81" i="1"/>
  <c r="G81" i="1"/>
  <c r="E81" i="1"/>
  <c r="H80" i="1"/>
  <c r="G80" i="1"/>
  <c r="E80" i="1"/>
  <c r="J79" i="1"/>
  <c r="K79" i="1" s="1"/>
  <c r="H79" i="1"/>
  <c r="G79" i="1"/>
  <c r="J78" i="1"/>
  <c r="K78" i="1" s="1"/>
  <c r="H78" i="1"/>
  <c r="G78" i="1"/>
  <c r="E78" i="1"/>
  <c r="H77" i="1"/>
  <c r="G77" i="1"/>
  <c r="E77" i="1"/>
  <c r="K76" i="1"/>
  <c r="J76" i="1"/>
  <c r="H76" i="1"/>
  <c r="G76" i="1"/>
  <c r="H75" i="1"/>
  <c r="G75" i="1"/>
  <c r="E75" i="1"/>
  <c r="J75" i="1" s="1"/>
  <c r="K75" i="1" s="1"/>
  <c r="H74" i="1"/>
  <c r="G74" i="1"/>
  <c r="E74" i="1" s="1"/>
  <c r="K73" i="1"/>
  <c r="J73" i="1"/>
  <c r="H73" i="1"/>
  <c r="G73" i="1"/>
  <c r="E73" i="1"/>
  <c r="H72" i="1"/>
  <c r="G72" i="1"/>
  <c r="E72" i="1"/>
  <c r="H71" i="1"/>
  <c r="G71" i="1"/>
  <c r="E71" i="1"/>
  <c r="H70" i="1"/>
  <c r="G70" i="1"/>
  <c r="E70" i="1" s="1"/>
  <c r="H69" i="1"/>
  <c r="E69" i="1" s="1"/>
  <c r="G69" i="1"/>
  <c r="H68" i="1"/>
  <c r="E68" i="1" s="1"/>
  <c r="G68" i="1"/>
  <c r="H67" i="1"/>
  <c r="G67" i="1"/>
  <c r="E67" i="1"/>
  <c r="J67" i="1" s="1"/>
  <c r="K67" i="1" s="1"/>
  <c r="J66" i="1"/>
  <c r="H66" i="1"/>
  <c r="G66" i="1"/>
  <c r="E66" i="1"/>
  <c r="J65" i="1"/>
  <c r="K65" i="1" s="1"/>
  <c r="H65" i="1"/>
  <c r="G65" i="1"/>
  <c r="J64" i="1"/>
  <c r="H64" i="1"/>
  <c r="G64" i="1"/>
  <c r="E64" i="1"/>
  <c r="J63" i="1"/>
  <c r="K63" i="1" s="1"/>
  <c r="H63" i="1"/>
  <c r="G63" i="1"/>
  <c r="E63" i="1"/>
  <c r="J62" i="1"/>
  <c r="K62" i="1" s="1"/>
  <c r="H62" i="1"/>
  <c r="G62" i="1"/>
  <c r="H61" i="1"/>
  <c r="G61" i="1"/>
  <c r="E61" i="1"/>
  <c r="H60" i="1"/>
  <c r="G60" i="1"/>
  <c r="E60" i="1" s="1"/>
  <c r="H59" i="1"/>
  <c r="G59" i="1"/>
  <c r="E59" i="1" s="1"/>
  <c r="H58" i="1"/>
  <c r="G58" i="1"/>
  <c r="K57" i="1"/>
  <c r="J57" i="1"/>
  <c r="H57" i="1"/>
  <c r="G57" i="1"/>
  <c r="H56" i="1"/>
  <c r="G56" i="1"/>
  <c r="E56" i="1"/>
  <c r="H55" i="1"/>
  <c r="G55" i="1"/>
  <c r="E55" i="1" s="1"/>
  <c r="J54" i="1"/>
  <c r="K54" i="1" s="1"/>
  <c r="H54" i="1"/>
  <c r="G54" i="1"/>
  <c r="J53" i="1"/>
  <c r="K53" i="1" s="1"/>
  <c r="H53" i="1"/>
  <c r="G53" i="1"/>
  <c r="J52" i="1"/>
  <c r="K52" i="1" s="1"/>
  <c r="H52" i="1"/>
  <c r="G52" i="1"/>
  <c r="H51" i="1"/>
  <c r="G51" i="1"/>
  <c r="E51" i="1" s="1"/>
  <c r="J50" i="1"/>
  <c r="K50" i="1" s="1"/>
  <c r="H50" i="1"/>
  <c r="G50" i="1"/>
  <c r="E50" i="1"/>
  <c r="H49" i="1"/>
  <c r="G49" i="1"/>
  <c r="E49" i="1"/>
  <c r="J49" i="1" s="1"/>
  <c r="K49" i="1" s="1"/>
  <c r="H48" i="1"/>
  <c r="G48" i="1"/>
  <c r="H47" i="1"/>
  <c r="G47" i="1"/>
  <c r="H46" i="1"/>
  <c r="G46" i="1"/>
  <c r="E46" i="1"/>
  <c r="J46" i="1" s="1"/>
  <c r="K46" i="1" s="1"/>
  <c r="H45" i="1"/>
  <c r="G45" i="1"/>
  <c r="E45" i="1"/>
  <c r="J45" i="1" s="1"/>
  <c r="K45" i="1" s="1"/>
  <c r="H44" i="1"/>
  <c r="G44" i="1"/>
  <c r="E44" i="1"/>
  <c r="H43" i="1"/>
  <c r="G43" i="1"/>
  <c r="E43" i="1"/>
  <c r="J43" i="1" s="1"/>
  <c r="K43" i="1" s="1"/>
  <c r="J42" i="1"/>
  <c r="K42" i="1" s="1"/>
  <c r="H42" i="1"/>
  <c r="G42" i="1"/>
  <c r="J41" i="1"/>
  <c r="K41" i="1" s="1"/>
  <c r="H41" i="1"/>
  <c r="G41" i="1"/>
  <c r="J40" i="1"/>
  <c r="K40" i="1" s="1"/>
  <c r="H40" i="1"/>
  <c r="G40" i="1"/>
  <c r="H39" i="1"/>
  <c r="G39" i="1"/>
  <c r="E39" i="1"/>
  <c r="H38" i="1"/>
  <c r="G38" i="1"/>
  <c r="E38" i="1"/>
  <c r="K37" i="1"/>
  <c r="J37" i="1"/>
  <c r="H37" i="1"/>
  <c r="G37" i="1"/>
  <c r="J36" i="1"/>
  <c r="K36" i="1" s="1"/>
  <c r="H36" i="1"/>
  <c r="G36" i="1"/>
  <c r="J35" i="1"/>
  <c r="K35" i="1" s="1"/>
  <c r="H35" i="1"/>
  <c r="G35" i="1"/>
  <c r="H34" i="1"/>
  <c r="G34" i="1"/>
  <c r="E34" i="1"/>
  <c r="K34" i="1" s="1"/>
  <c r="H33" i="1"/>
  <c r="G33" i="1"/>
  <c r="E33" i="1"/>
  <c r="K33" i="1" s="1"/>
  <c r="H32" i="1"/>
  <c r="G32" i="1"/>
  <c r="E32" i="1"/>
  <c r="K32" i="1" s="1"/>
  <c r="H31" i="1"/>
  <c r="G31" i="1"/>
  <c r="E31" i="1"/>
  <c r="K31" i="1" s="1"/>
  <c r="H30" i="1"/>
  <c r="G30" i="1"/>
  <c r="E30" i="1" s="1"/>
  <c r="K30" i="1" s="1"/>
  <c r="H29" i="1"/>
  <c r="G29" i="1"/>
  <c r="E29" i="1" s="1"/>
  <c r="K29" i="1" s="1"/>
  <c r="H28" i="1"/>
  <c r="G28" i="1"/>
  <c r="E28" i="1"/>
  <c r="J28" i="1" s="1"/>
  <c r="K28" i="1" s="1"/>
  <c r="H27" i="1"/>
  <c r="G27" i="1"/>
  <c r="E27" i="1" s="1"/>
  <c r="H26" i="1"/>
  <c r="G26" i="1"/>
  <c r="E26" i="1"/>
  <c r="J26" i="1" s="1"/>
  <c r="K26" i="1" s="1"/>
  <c r="H25" i="1"/>
  <c r="G25" i="1"/>
  <c r="E25" i="1" s="1"/>
  <c r="J24" i="1"/>
  <c r="H24" i="1"/>
  <c r="G24" i="1"/>
  <c r="E24" i="1"/>
  <c r="K24" i="1" s="1"/>
  <c r="J23" i="1"/>
  <c r="K23" i="1" s="1"/>
  <c r="H23" i="1"/>
  <c r="G23" i="1"/>
  <c r="H22" i="1"/>
  <c r="G22" i="1"/>
  <c r="E22" i="1" s="1"/>
  <c r="H21" i="1"/>
  <c r="G21" i="1"/>
  <c r="J20" i="1"/>
  <c r="K20" i="1" s="1"/>
  <c r="H20" i="1"/>
  <c r="G20" i="1"/>
  <c r="H19" i="1"/>
  <c r="G19" i="1"/>
  <c r="J18" i="1"/>
  <c r="K18" i="1" s="1"/>
  <c r="H18" i="1"/>
  <c r="G18" i="1"/>
  <c r="H17" i="1"/>
  <c r="G17" i="1"/>
  <c r="E17" i="1"/>
  <c r="H16" i="1"/>
  <c r="G16" i="1"/>
  <c r="E16" i="1" s="1"/>
  <c r="H15" i="1"/>
  <c r="G15" i="1"/>
  <c r="E15" i="1" s="1"/>
  <c r="J15" i="1" s="1"/>
  <c r="H14" i="1"/>
  <c r="G14" i="1"/>
  <c r="E14" i="1"/>
  <c r="J13" i="1"/>
  <c r="K13" i="1" s="1"/>
  <c r="H13" i="1"/>
  <c r="G13" i="1"/>
  <c r="H12" i="1"/>
  <c r="G12" i="1"/>
  <c r="E12" i="1" s="1"/>
  <c r="J11" i="1"/>
  <c r="K11" i="1" s="1"/>
  <c r="H11" i="1"/>
  <c r="G11" i="1"/>
  <c r="E11" i="1"/>
  <c r="J10" i="1"/>
  <c r="K10" i="1" s="1"/>
  <c r="H10" i="1"/>
  <c r="G10" i="1"/>
  <c r="H9" i="1"/>
  <c r="G9" i="1"/>
  <c r="E9" i="1"/>
  <c r="J9" i="1" s="1"/>
  <c r="K9" i="1" s="1"/>
  <c r="J8" i="1"/>
  <c r="K8" i="1" s="1"/>
  <c r="H8" i="1"/>
  <c r="G8" i="1"/>
  <c r="H7" i="1"/>
  <c r="G7" i="1"/>
  <c r="E7" i="1"/>
  <c r="K191" i="1" l="1"/>
  <c r="K170" i="1"/>
  <c r="K182" i="1"/>
  <c r="J159" i="1"/>
  <c r="K159" i="1" s="1"/>
  <c r="K172" i="1"/>
  <c r="E48" i="1"/>
  <c r="E120" i="1"/>
  <c r="K198" i="1"/>
  <c r="K116" i="1"/>
  <c r="J149" i="1"/>
  <c r="K149" i="1" s="1"/>
  <c r="E158" i="1"/>
  <c r="J158" i="1" s="1"/>
  <c r="J172" i="1"/>
  <c r="J191" i="1"/>
  <c r="E117" i="1"/>
  <c r="E121" i="1"/>
  <c r="K121" i="1" s="1"/>
  <c r="K173" i="1"/>
  <c r="K94" i="1"/>
  <c r="E155" i="1"/>
  <c r="J170" i="1"/>
  <c r="E21" i="1"/>
  <c r="J21" i="1" s="1"/>
  <c r="K21" i="1" s="1"/>
  <c r="K66" i="1"/>
  <c r="J87" i="1"/>
  <c r="K87" i="1" s="1"/>
  <c r="E143" i="1"/>
  <c r="J143" i="1" s="1"/>
  <c r="K143" i="1" s="1"/>
  <c r="E177" i="1"/>
  <c r="E58" i="1"/>
  <c r="J58" i="1" s="1"/>
  <c r="K58" i="1" s="1"/>
  <c r="E106" i="1"/>
  <c r="E131" i="1"/>
  <c r="E135" i="1"/>
  <c r="E168" i="1"/>
  <c r="K168" i="1" s="1"/>
  <c r="K200" i="1"/>
  <c r="K197" i="1"/>
  <c r="J182" i="1"/>
  <c r="E47" i="1"/>
  <c r="J47" i="1" s="1"/>
  <c r="K47" i="1" s="1"/>
  <c r="K64" i="1"/>
  <c r="K112" i="1"/>
  <c r="E161" i="1"/>
  <c r="J200" i="1"/>
  <c r="J160" i="1"/>
  <c r="K160" i="1" s="1"/>
  <c r="J161" i="1"/>
  <c r="K161" i="1" s="1"/>
  <c r="J48" i="1"/>
  <c r="K48" i="1" s="1"/>
  <c r="K120" i="1"/>
  <c r="J25" i="1"/>
  <c r="K25" i="1" s="1"/>
  <c r="J68" i="1"/>
  <c r="K68" i="1" s="1"/>
  <c r="J180" i="1"/>
  <c r="K180" i="1" s="1"/>
  <c r="J183" i="1"/>
  <c r="K183" i="1" s="1"/>
  <c r="J16" i="1"/>
  <c r="K16" i="1"/>
  <c r="J51" i="1"/>
  <c r="K51" i="1" s="1"/>
  <c r="K92" i="1"/>
  <c r="J22" i="1"/>
  <c r="K22" i="1"/>
  <c r="J69" i="1"/>
  <c r="K69" i="1" s="1"/>
  <c r="J117" i="1"/>
  <c r="K117" i="1" s="1"/>
  <c r="J121" i="1"/>
  <c r="J70" i="1"/>
  <c r="K70" i="1" s="1"/>
  <c r="K81" i="1"/>
  <c r="J154" i="1"/>
  <c r="K154" i="1" s="1"/>
  <c r="K163" i="1"/>
  <c r="K184" i="1"/>
  <c r="K98" i="1"/>
  <c r="J98" i="1"/>
  <c r="K122" i="1"/>
  <c r="J122" i="1"/>
  <c r="J155" i="1"/>
  <c r="K155" i="1" s="1"/>
  <c r="K110" i="1"/>
  <c r="J74" i="1"/>
  <c r="K74" i="1" s="1"/>
  <c r="J106" i="1"/>
  <c r="K106" i="1" s="1"/>
  <c r="J177" i="1"/>
  <c r="K177" i="1" s="1"/>
  <c r="J27" i="1"/>
  <c r="K27" i="1" s="1"/>
  <c r="J59" i="1"/>
  <c r="K59" i="1" s="1"/>
  <c r="K91" i="1"/>
  <c r="J131" i="1"/>
  <c r="K131" i="1" s="1"/>
  <c r="J135" i="1"/>
  <c r="K135" i="1" s="1"/>
  <c r="K178" i="1"/>
  <c r="J111" i="1"/>
  <c r="K111" i="1" s="1"/>
  <c r="J60" i="1"/>
  <c r="K60" i="1" s="1"/>
  <c r="J55" i="1"/>
  <c r="K55" i="1" s="1"/>
  <c r="J12" i="1"/>
  <c r="K12" i="1" s="1"/>
  <c r="J186" i="1"/>
  <c r="K186" i="1" s="1"/>
  <c r="J193" i="1"/>
  <c r="K193" i="1" s="1"/>
  <c r="J14" i="1"/>
  <c r="K14" i="1" s="1"/>
  <c r="J19" i="1"/>
  <c r="K19" i="1" s="1"/>
  <c r="J38" i="1"/>
  <c r="K38" i="1" s="1"/>
  <c r="J56" i="1"/>
  <c r="K56" i="1" s="1"/>
  <c r="J61" i="1"/>
  <c r="K61" i="1" s="1"/>
  <c r="J71" i="1"/>
  <c r="K71" i="1" s="1"/>
  <c r="J81" i="1"/>
  <c r="J91" i="1"/>
  <c r="J96" i="1"/>
  <c r="K96" i="1" s="1"/>
  <c r="J101" i="1"/>
  <c r="K101" i="1" s="1"/>
  <c r="J109" i="1"/>
  <c r="K109" i="1" s="1"/>
  <c r="J124" i="1"/>
  <c r="K124" i="1" s="1"/>
  <c r="J132" i="1"/>
  <c r="K132" i="1" s="1"/>
  <c r="J146" i="1"/>
  <c r="K146" i="1" s="1"/>
  <c r="J152" i="1"/>
  <c r="K152" i="1" s="1"/>
  <c r="J162" i="1"/>
  <c r="K162" i="1" s="1"/>
  <c r="J175" i="1"/>
  <c r="K175" i="1" s="1"/>
  <c r="J184" i="1"/>
  <c r="J203" i="1"/>
  <c r="K203" i="1" s="1"/>
  <c r="J189" i="1"/>
  <c r="K189" i="1" s="1"/>
  <c r="J196" i="1"/>
  <c r="K196" i="1" s="1"/>
  <c r="J201" i="1"/>
  <c r="K201" i="1" s="1"/>
  <c r="J17" i="1"/>
  <c r="K17" i="1" s="1"/>
  <c r="J44" i="1"/>
  <c r="K44" i="1" s="1"/>
  <c r="J178" i="1"/>
  <c r="J187" i="1"/>
  <c r="K187" i="1" s="1"/>
  <c r="J194" i="1"/>
  <c r="K194" i="1" s="1"/>
  <c r="J7" i="1"/>
  <c r="K7" i="1" s="1"/>
  <c r="J147" i="1"/>
  <c r="K147" i="1" s="1"/>
  <c r="J82" i="1"/>
  <c r="K82" i="1" s="1"/>
  <c r="J92" i="1"/>
  <c r="J97" i="1"/>
  <c r="K97" i="1" s="1"/>
  <c r="J102" i="1"/>
  <c r="K102" i="1" s="1"/>
  <c r="J110" i="1"/>
  <c r="J125" i="1"/>
  <c r="K125" i="1" s="1"/>
  <c r="J133" i="1"/>
  <c r="K133" i="1" s="1"/>
  <c r="J163" i="1"/>
  <c r="J176" i="1"/>
  <c r="K176" i="1" s="1"/>
  <c r="J185" i="1"/>
  <c r="K185" i="1" s="1"/>
  <c r="J72" i="1"/>
  <c r="K72" i="1" s="1"/>
  <c r="J77" i="1"/>
  <c r="K77" i="1" s="1"/>
  <c r="K15" i="1"/>
  <c r="J115" i="1"/>
  <c r="K115" i="1" s="1"/>
  <c r="J128" i="1"/>
  <c r="K128" i="1" s="1"/>
  <c r="J142" i="1"/>
  <c r="K142" i="1" s="1"/>
  <c r="J39" i="1"/>
  <c r="K39" i="1" s="1"/>
  <c r="J80" i="1"/>
  <c r="K80" i="1" s="1"/>
  <c r="J95" i="1"/>
  <c r="K95" i="1" s="1"/>
  <c r="J123" i="1"/>
  <c r="K123" i="1" s="1"/>
  <c r="J174" i="1"/>
  <c r="K174" i="1" s="1"/>
  <c r="J202" i="1"/>
  <c r="K202" i="1" s="1"/>
  <c r="K158" i="1" l="1"/>
  <c r="K204" i="1"/>
</calcChain>
</file>

<file path=xl/sharedStrings.xml><?xml version="1.0" encoding="utf-8"?>
<sst xmlns="http://schemas.openxmlformats.org/spreadsheetml/2006/main" count="447" uniqueCount="210">
  <si>
    <t>ANAMAR</t>
  </si>
  <si>
    <t>Fecha de Registro</t>
  </si>
  <si>
    <t>Código Institucional</t>
  </si>
  <si>
    <t>Breve Descripción del Bien</t>
  </si>
  <si>
    <t>Existencia</t>
  </si>
  <si>
    <t>Medida</t>
  </si>
  <si>
    <t>Qty Entrada</t>
  </si>
  <si>
    <t>Qty Salida</t>
  </si>
  <si>
    <t>ITBS</t>
  </si>
  <si>
    <t>Valores RD$</t>
  </si>
  <si>
    <t xml:space="preserve">Papel Bond 8½ X 11 </t>
  </si>
  <si>
    <t>Resma</t>
  </si>
  <si>
    <t>Papel Bond 8½ X 13</t>
  </si>
  <si>
    <t>Papel Bond 8½ X 14</t>
  </si>
  <si>
    <t>Papel Bond 11 X 17</t>
  </si>
  <si>
    <t>Papel Opalina 8½ X 11</t>
  </si>
  <si>
    <t>Papel Satinado 8½ X 11</t>
  </si>
  <si>
    <t>Papel Hilo 1 cara 8½ X 11</t>
  </si>
  <si>
    <t>Hojas de Color</t>
  </si>
  <si>
    <t xml:space="preserve">Folder 8½ X 11 </t>
  </si>
  <si>
    <t>Unidad</t>
  </si>
  <si>
    <t>Folder 8½ X 13</t>
  </si>
  <si>
    <t>Cover para encuadernación Azul</t>
  </si>
  <si>
    <t>Cover para encuadernación Transparente</t>
  </si>
  <si>
    <t>PendaFlex 8½ X 11</t>
  </si>
  <si>
    <t>Caja</t>
  </si>
  <si>
    <t>Report Covers</t>
  </si>
  <si>
    <t>Separador con Pestañas (5 Tab Color)</t>
  </si>
  <si>
    <t>Protector Hojas Carpetas</t>
  </si>
  <si>
    <t>Separadores de Libros</t>
  </si>
  <si>
    <t>Sobres en Blanco sin logo</t>
  </si>
  <si>
    <t>Sobres en Blanco con logo</t>
  </si>
  <si>
    <t>Sobres Manila 8 1/2 x 11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</si>
  <si>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</si>
  <si>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</si>
  <si>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</si>
  <si>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</si>
  <si>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</si>
  <si>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</si>
  <si>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</si>
  <si>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</si>
  <si>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Lapiz Carbon</t>
  </si>
  <si>
    <t>Portaminas 0.5mm</t>
  </si>
  <si>
    <t>Minas 0.5</t>
  </si>
  <si>
    <t>Felpas Printek negras</t>
  </si>
  <si>
    <t>Lapiceros Azules Faber Castle</t>
  </si>
  <si>
    <t>Lapiceros Negros Faber Castle</t>
  </si>
  <si>
    <t>Lapiceros Azules Pelikan Pointec</t>
  </si>
  <si>
    <t>Lapiceros Talbot Azul</t>
  </si>
  <si>
    <t>Lapiceros Talbot negro</t>
  </si>
  <si>
    <t>Grapadora</t>
  </si>
  <si>
    <t>Grapadora uso pesado</t>
  </si>
  <si>
    <t>Grapas uso pesado</t>
  </si>
  <si>
    <t>Grapas standard</t>
  </si>
  <si>
    <t>Sacagrapa pequeño</t>
  </si>
  <si>
    <t>Saca Grapa Talbot</t>
  </si>
  <si>
    <t>Saca Grapa uso pesado</t>
  </si>
  <si>
    <t>Perforadora 2 Hoyos</t>
  </si>
  <si>
    <t>Perforadora 3 Hoyos</t>
  </si>
  <si>
    <t>Libretas Peq. Blanca</t>
  </si>
  <si>
    <t>Libretas Gde. Blanca</t>
  </si>
  <si>
    <t>Libretas Gde. Amarilla</t>
  </si>
  <si>
    <t>Libretas Peq. Amarilla</t>
  </si>
  <si>
    <t>Libreta para Rotafolio</t>
  </si>
  <si>
    <t>Bandas (Gomitas)</t>
  </si>
  <si>
    <t>Dispensador cinta pegante</t>
  </si>
  <si>
    <t>Cinta Pegante invisible</t>
  </si>
  <si>
    <t>Masking Tape 1"</t>
  </si>
  <si>
    <t>Cinta Doble Cara</t>
  </si>
  <si>
    <t>Cinta adhesiva de 3/4</t>
  </si>
  <si>
    <t>Ganchos Acco</t>
  </si>
  <si>
    <t xml:space="preserve">Paper Clips Jumbo ACCO </t>
  </si>
  <si>
    <t>Paper Clips 33mm</t>
  </si>
  <si>
    <t>Memoria USB16GB</t>
  </si>
  <si>
    <t>Memoria USB32GB</t>
  </si>
  <si>
    <t>Post It 10x15 color</t>
  </si>
  <si>
    <t>29/042021</t>
  </si>
  <si>
    <t xml:space="preserve">Post It Memo Tip 3x5 </t>
  </si>
  <si>
    <t>Post-It Memo Tip 3x3</t>
  </si>
  <si>
    <t>Cera para contar</t>
  </si>
  <si>
    <t>Post It Mini Memo Tip 1 1/2x2</t>
  </si>
  <si>
    <t>Banderitas de color/ Marcador de pagina</t>
  </si>
  <si>
    <t xml:space="preserve">Sharpie Azul </t>
  </si>
  <si>
    <t>Sharpie Verde</t>
  </si>
  <si>
    <t>Resaltador azul</t>
  </si>
  <si>
    <t>Resaltador naranja</t>
  </si>
  <si>
    <t>Resaltador rosado</t>
  </si>
  <si>
    <t>Resaltador amarillo</t>
  </si>
  <si>
    <t>Sharpie negro</t>
  </si>
  <si>
    <t>Sharpie Rojo</t>
  </si>
  <si>
    <t>Marcadores Pizarra</t>
  </si>
  <si>
    <t>Pizzarra marco metal</t>
  </si>
  <si>
    <t>Binder Clips Artesco 51mm</t>
  </si>
  <si>
    <t>Binder Clips Artesco 41mm</t>
  </si>
  <si>
    <t xml:space="preserve">Binders Clips Printa 32mm </t>
  </si>
  <si>
    <t>Binder Clips Artesco 25mm</t>
  </si>
  <si>
    <t>Binder Clips Ofi Mark 15mm</t>
  </si>
  <si>
    <t>Pilas AAA paquete de 1</t>
  </si>
  <si>
    <t>Pilas AA paquete de 1</t>
  </si>
  <si>
    <t>Paquete</t>
  </si>
  <si>
    <t>Pilas AA paquete de 2</t>
  </si>
  <si>
    <t>Pilas AA paquete de 4</t>
  </si>
  <si>
    <t>Pilas AAA paquete de 2</t>
  </si>
  <si>
    <t>Pilas AAA paquete de 4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</si>
  <si>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</si>
  <si>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</si>
  <si>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</si>
  <si>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</si>
  <si>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</si>
  <si>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</si>
  <si>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</si>
  <si>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</si>
  <si>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</si>
  <si>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</si>
  <si>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Porta CD/DVD plastico</t>
  </si>
  <si>
    <t>CD</t>
  </si>
  <si>
    <t>DVD</t>
  </si>
  <si>
    <t>Capetas Vinyl ½"</t>
  </si>
  <si>
    <t>Carpetas vinyl 1"</t>
  </si>
  <si>
    <t>Carpetas vinyl 1½"</t>
  </si>
  <si>
    <t>Carpetas vinyl 2"</t>
  </si>
  <si>
    <t>Carpetas vinyl 3"</t>
  </si>
  <si>
    <t>Carpetas vinyl 4"</t>
  </si>
  <si>
    <t>Carpetas vinyl 5"</t>
  </si>
  <si>
    <t>Espiral para encuadernación 6mm</t>
  </si>
  <si>
    <t>Espiral para encuadernación 12mm</t>
  </si>
  <si>
    <t>Espiral para encuadernación 14mm</t>
  </si>
  <si>
    <t>Espiral para encuadernación 16mm</t>
  </si>
  <si>
    <t>Espiral para encuadernación 19mm</t>
  </si>
  <si>
    <t>Pegamento fuerte en gel</t>
  </si>
  <si>
    <t>White Dymo Label</t>
  </si>
  <si>
    <t>Zafacon de escritorio</t>
  </si>
  <si>
    <t>Rollo Papel Sumadora</t>
  </si>
  <si>
    <t>Archivo acordeon</t>
  </si>
  <si>
    <t>Juego para escritorios</t>
  </si>
  <si>
    <t>Juego Bandeja Escritorio 5/1</t>
  </si>
  <si>
    <t>Porta Lapices</t>
  </si>
  <si>
    <t>Porta Libreta</t>
  </si>
  <si>
    <t>Label mamey</t>
  </si>
  <si>
    <t>Pizarra corcho</t>
  </si>
  <si>
    <t>-</t>
  </si>
  <si>
    <t>USB CIMO 2016</t>
  </si>
  <si>
    <t>USB 4GB</t>
  </si>
  <si>
    <t>Pegamento fuerte liquido</t>
  </si>
  <si>
    <t>Pegamento en Barra</t>
  </si>
  <si>
    <t>Pegamento blanco</t>
  </si>
  <si>
    <t>Agendas Annual</t>
  </si>
  <si>
    <t>Mascarillas desechables</t>
  </si>
  <si>
    <t>Protector de cara/ Face Shields</t>
  </si>
  <si>
    <t>Gel Antibacterial</t>
  </si>
  <si>
    <t>Galón</t>
  </si>
  <si>
    <t>Pruebas Rapidas Deteccion COVID19</t>
  </si>
  <si>
    <t>17/07/2020</t>
  </si>
  <si>
    <t>19/07/2020</t>
  </si>
  <si>
    <t>Termometros infrarrojos Digitales</t>
  </si>
  <si>
    <t xml:space="preserve">Alcohol Isopropilico </t>
  </si>
  <si>
    <t>21/08/2019</t>
  </si>
  <si>
    <t>Café Santo Domingo molido 8.8 onz</t>
  </si>
  <si>
    <t>23/09/2019</t>
  </si>
  <si>
    <t>Capsula Café Santo Domingo</t>
  </si>
  <si>
    <t>Capsula Café Santo Domingo Intenso</t>
  </si>
  <si>
    <t>Capsula Café Santo Domingo Lungo</t>
  </si>
  <si>
    <t>Capsula Café Santo Domingo Caracolillo</t>
  </si>
  <si>
    <t>Capsula Café Santo Domingo Descafeinado</t>
  </si>
  <si>
    <t xml:space="preserve">Te de frutas </t>
  </si>
  <si>
    <t>Agua de 16 onz</t>
  </si>
  <si>
    <t>Te de Manzanilla</t>
  </si>
  <si>
    <t>Te anis</t>
  </si>
  <si>
    <t>Te de Manzanilla y Anis</t>
  </si>
  <si>
    <t>Agua natural 8 onzs.</t>
  </si>
  <si>
    <t>Vasos de papel No. 4</t>
  </si>
  <si>
    <t>Endulzante Artificial 200/1</t>
  </si>
  <si>
    <t>Servilletas C-Fold</t>
  </si>
  <si>
    <t>Fardo</t>
  </si>
  <si>
    <t>Azucar Blanca</t>
  </si>
  <si>
    <t>Azucar parda</t>
  </si>
  <si>
    <t>Cremora Lite</t>
  </si>
  <si>
    <t>Cremora Nestle 22Onz</t>
  </si>
  <si>
    <t>Té genjibre/limón</t>
  </si>
  <si>
    <t>Té verde</t>
  </si>
  <si>
    <t>Vasos No. 7</t>
  </si>
  <si>
    <t>Fundas blancas/ negras para baño</t>
  </si>
  <si>
    <t>Botella de aceite verde</t>
  </si>
  <si>
    <t>Vasos Plasticos No. 10</t>
  </si>
  <si>
    <t>Servilletas</t>
  </si>
  <si>
    <t>Papel de Baño paquete de 4</t>
  </si>
  <si>
    <t>Escobas</t>
  </si>
  <si>
    <t>Suapes</t>
  </si>
  <si>
    <t>Fundas blancas/ negras para cocina</t>
  </si>
  <si>
    <t>Fundas negras para cocina</t>
  </si>
  <si>
    <t>Cloro</t>
  </si>
  <si>
    <t>Detergente en polvo</t>
  </si>
  <si>
    <t>Detergente Liquido para pisos</t>
  </si>
  <si>
    <t>Ambientador/lysol</t>
  </si>
  <si>
    <t>Esponja de fregar</t>
  </si>
  <si>
    <t xml:space="preserve">Lavaplatos liquido </t>
  </si>
  <si>
    <t>Paños de cocina</t>
  </si>
  <si>
    <t>Guantes para limpieza</t>
  </si>
  <si>
    <t>Cuchara plasticas</t>
  </si>
  <si>
    <t>Tenedores plasticos</t>
  </si>
  <si>
    <t>Platos desechables No. 6</t>
  </si>
  <si>
    <t>Platos desechables No. 9</t>
  </si>
  <si>
    <t>Papel de Baño paquete de 12</t>
  </si>
  <si>
    <t>Endulzante Artificial 100/1</t>
  </si>
  <si>
    <t>Fundas negras para baño</t>
  </si>
  <si>
    <t>Relación Semestral de Inventario Material Gastable</t>
  </si>
  <si>
    <t>Autoridad Nacional de Asuntos Maritimos</t>
  </si>
  <si>
    <t>Correspondiente al trimestre Abril - Junio 2022</t>
  </si>
  <si>
    <t>Periodo de Adquisición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</si>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</sst>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4" fontId="4" fillId="0" borderId="0" xfId="2" applyFont="1" applyFill="1" applyAlignment="1">
      <alignment horizontal="center" vertical="center" wrapText="1"/>
    </xf>
    <xf numFmtId="14" fontId="4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3" xfId="2" applyFont="1" applyFill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44" fontId="0" fillId="0" borderId="0" xfId="0" applyNumberFormat="1"/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2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44" fontId="5" fillId="0" borderId="0" xfId="2" applyFont="1" applyFill="1" applyAlignment="1">
      <alignment horizontal="center"/>
    </xf>
    <xf numFmtId="44" fontId="5" fillId="0" borderId="3" xfId="2" applyFont="1" applyFill="1" applyBorder="1" applyAlignment="1">
      <alignment horizontal="center"/>
    </xf>
    <xf numFmtId="44" fontId="5" fillId="0" borderId="0" xfId="0" applyNumberFormat="1" applyFont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5" xfId="0" applyFont="1" applyBorder="1"/>
    <xf numFmtId="44" fontId="4" fillId="0" borderId="0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14" fontId="0" fillId="0" borderId="0" xfId="0" applyNumberFormat="1"/>
    <xf numFmtId="1" fontId="0" fillId="0" borderId="4" xfId="0" applyNumberFormat="1" applyBorder="1" applyAlignment="1">
      <alignment horizontal="center" vertical="center"/>
    </xf>
    <xf numFmtId="0" fontId="0" fillId="0" borderId="5" xfId="0" applyBorder="1"/>
    <xf numFmtId="44" fontId="0" fillId="0" borderId="6" xfId="0" applyNumberFormat="1" applyBorder="1" applyAlignment="1">
      <alignment horizontal="center"/>
    </xf>
    <xf numFmtId="43" fontId="0" fillId="0" borderId="0" xfId="1" applyFont="1" applyFill="1" applyAlignment="1">
      <alignment horizontal="center"/>
    </xf>
    <xf numFmtId="9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 applyAlignment="1">
      <alignment horizontal="center"/>
    </xf>
    <xf numFmtId="4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9" formatCode="m/d/yyyy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214996</xdr:colOff>
      <xdr:row>0</xdr:row>
      <xdr:rowOff>12700</xdr:rowOff>
    </xdr:from>
    <xdr:to>
      <xdr:col>2</xdr:col>
      <xdr:colOff>790575</xdr:colOff>
      <xdr:row>3</xdr:row>
      <xdr:rowOff>120650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420DFF-7245-420A-8243-2DEC54DFB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167496" y="12700"/>
          <a:ext cx="1480454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astillo\AppData\Local\Microsoft\Windows\INetCache\Content.Outlook\DVFAULXP\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  <sheetName val="JUNIO 2022"/>
    </sheetNames>
    <sheetDataSet>
      <sheetData sheetId="0"/>
      <sheetData sheetId="1"/>
      <sheetData sheetId="2"/>
      <sheetData sheetId="3">
        <row r="7">
          <cell r="C7">
            <v>1000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730FFB-122C-427B-98C2-E7EC0CAFDA31}" name="Table167910" displayName="Table167910" ref="A6:K204" totalsRowCount="1" headerRowDxfId="21">
  <autoFilter ref="A6:K203" xr:uid="{40730FFB-122C-427B-98C2-E7EC0CAFDA31}"/>
  <tableColumns count="11">
    <tableColumn id="1" xr3:uid="{C65C9EF8-B98B-4893-8B11-01C9B5DD577A}" name="Periodo de Adquisición" dataDxfId="20" totalsRowDxfId="19"/>
    <tableColumn id="2" xr3:uid="{F43A768B-44A6-42EB-BF9F-D97595010AB9}" name="Fecha de Registro" dataDxfId="18"/>
    <tableColumn id="3" xr3:uid="{33260706-A8C5-4E64-9B90-4DA37A9501BF}" name="Código Institucional" dataDxfId="17" totalsRowDxfId="16"/>
    <tableColumn id="4" xr3:uid="{46AB5A2B-D578-4145-B0B3-8E8EC566C922}" name="Breve Descripción del Bien" dataDxfId="15" totalsRowDxfId="14"/>
    <tableColumn id="5" xr3:uid="{C9C5B5AA-0330-457F-A79C-A6F2818EBBC5}" name="Existencia" dataDxfId="13" totalsRowDxfId="12">
      <calculatedColumnFormula>Table167910[[#This Row],[Qty Entrada]]-Table167910[[#This Row],[Qty Salida]]</calculatedColumnFormula>
    </tableColumn>
    <tableColumn id="6" xr3:uid="{F8A77F5D-738B-4E5F-AAAD-53BA6209BC23}" name="Medida" dataDxfId="11" totalsRowDxfId="10"/>
    <tableColumn id="11" xr3:uid="{6698FE8E-8604-4485-87B4-7A6FF5604759}" name="Qty Entrada" dataDxfId="9" totalsRowDxfId="8">
      <calculatedColumnFormula>SUMIF([1]!Table3[Código Institucional],'[1]ENTRADA 6-05-2022'!C7:C198,[1]!Table3[Cantidad])</calculatedColumnFormula>
    </tableColumn>
    <tableColumn id="10" xr3:uid="{93040D24-8933-44D4-B887-B730FFF659EC}" name="Qty Salida" dataDxfId="7" totalsRowDxfId="6">
      <calculatedColumnFormula>SUMIF([1]!Table2[Código Institucional],'[1]ENTRADA 6-05-2022'!C7:C198,[1]!Table2[Cantidad])</calculatedColumnFormula>
    </tableColumn>
    <tableColumn id="7" xr3:uid="{E04F1733-FA52-433F-91FE-AD3A635A13C8}" name="Valor" dataDxfId="5" totalsRowDxfId="4"/>
    <tableColumn id="8" xr3:uid="{1F3E2BB1-0D56-4B78-9008-83DE539DC0DF}" name="ITBS" dataDxfId="3" totalsRowDxfId="2">
      <calculatedColumnFormula>I7*18%*E7</calculatedColumnFormula>
    </tableColumn>
    <tableColumn id="9" xr3:uid="{931EE12D-0D43-476C-9423-6066C89C1EF7}" name="Valores RD$" totalsRowFunction="custom" dataDxfId="1" totalsRowDxfId="0">
      <calculatedColumnFormula>E7*I7+J7</calculatedColumnFormula>
      <totalsRowFormula>SUBTOTAL(109,Table167910[Valores RD$])+0.82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C507D-C701-419C-8538-3E6FA24D1717}">
  <sheetPr>
    <pageSetUpPr fitToPage="1"/>
  </sheetPr>
  <dimension ref="A1:M215"/>
  <sheetViews>
    <sheetView tabSelected="1" zoomScaleNormal="100" workbookViewId="0">
      <selection activeCell="A4" sqref="A4:K4"/>
    </sheetView>
  </sheetViews>
  <sheetFormatPr defaultColWidth="9.140625" defaultRowHeight="15" x14ac:dyDescent="0.25"/>
  <cols>
    <col min="1" max="1" width="14.28515625" customWidth="1"/>
    <col min="2" max="2" width="13.5703125" bestFit="1" customWidth="1"/>
    <col min="3" max="3" width="13.7109375" style="2" bestFit="1" customWidth="1"/>
    <col min="4" max="4" width="55.28515625" customWidth="1"/>
    <col min="5" max="5" width="11.7109375" style="3" customWidth="1"/>
    <col min="6" max="6" width="15.7109375" style="3" customWidth="1"/>
    <col min="7" max="7" width="0.140625" style="3" customWidth="1"/>
    <col min="8" max="8" width="0" style="3" hidden="1" customWidth="1"/>
    <col min="9" max="9" width="13" style="3" customWidth="1"/>
    <col min="10" max="10" width="15.28515625" style="3" customWidth="1"/>
    <col min="11" max="11" width="19" style="3" bestFit="1" customWidth="1"/>
    <col min="13" max="13" width="17.5703125" customWidth="1"/>
  </cols>
  <sheetData>
    <row r="1" spans="1:11" ht="26.25" x14ac:dyDescent="0.4">
      <c r="A1" s="43" t="s">
        <v>206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6.25" x14ac:dyDescent="0.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 x14ac:dyDescent="0.3">
      <c r="A3" s="44" t="s">
        <v>205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x14ac:dyDescent="0.3">
      <c r="A4" s="44" t="s">
        <v>207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6" spans="1:11" ht="41.25" customHeight="1" x14ac:dyDescent="0.25">
      <c r="A6" s="4" t="s">
        <v>208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209</v>
      </c>
      <c r="J6" s="4" t="s">
        <v>8</v>
      </c>
      <c r="K6" s="5" t="s">
        <v>9</v>
      </c>
    </row>
    <row r="7" spans="1:11" ht="17.25" x14ac:dyDescent="0.3">
      <c r="A7" s="6">
        <v>43594</v>
      </c>
      <c r="B7" s="6">
        <v>44687</v>
      </c>
      <c r="C7" s="7">
        <v>1000</v>
      </c>
      <c r="D7" s="8" t="s">
        <v>10</v>
      </c>
      <c r="E7" s="9">
        <f>40-2+40-8-6</f>
        <v>64</v>
      </c>
      <c r="F7" s="10" t="s">
        <v>11</v>
      </c>
      <c r="G7" s="10">
        <f>SUMIF([1]!Table3[Código Institucional],'[1]ENTRADA 6-05-2022'!C7:C198,[1]!Table3[Cantidad])</f>
        <v>197</v>
      </c>
      <c r="H7" s="10">
        <f>SUMIF([1]!Table2[Código Institucional],'[1]ENTRADA 6-05-2022'!C7:C198,[1]!Table2[Cantidad])</f>
        <v>147</v>
      </c>
      <c r="I7" s="11">
        <v>175</v>
      </c>
      <c r="J7" s="12">
        <f t="shared" ref="J7:J70" si="0">I7*18%*E7</f>
        <v>2016</v>
      </c>
      <c r="K7" s="13">
        <f>E7*I7+J7</f>
        <v>13216</v>
      </c>
    </row>
    <row r="8" spans="1:11" ht="17.25" x14ac:dyDescent="0.3">
      <c r="A8" s="6">
        <v>43594</v>
      </c>
      <c r="B8" s="6">
        <v>44315</v>
      </c>
      <c r="C8" s="7">
        <v>1001</v>
      </c>
      <c r="D8" s="8" t="s">
        <v>12</v>
      </c>
      <c r="E8" s="9">
        <v>14</v>
      </c>
      <c r="F8" s="10" t="s">
        <v>11</v>
      </c>
      <c r="G8" s="10">
        <f>SUMIF([1]!Table3[Código Institucional],'[1]ENTRADA 6-05-2022'!C8:C199,[1]!Table3[Cantidad])</f>
        <v>20</v>
      </c>
      <c r="H8" s="10">
        <f>SUMIF([1]!Table2[Código Institucional],'[1]ENTRADA 6-05-2022'!C8:C199,[1]!Table2[Cantidad])</f>
        <v>5</v>
      </c>
      <c r="I8" s="11">
        <v>200.5</v>
      </c>
      <c r="J8" s="12">
        <f t="shared" si="0"/>
        <v>505.25999999999993</v>
      </c>
      <c r="K8" s="13">
        <f t="shared" ref="K8:K71" si="1">E8*I8+J8</f>
        <v>3312.2599999999998</v>
      </c>
    </row>
    <row r="9" spans="1:11" ht="17.25" x14ac:dyDescent="0.3">
      <c r="A9" s="6">
        <v>43594</v>
      </c>
      <c r="B9" s="6">
        <v>44687</v>
      </c>
      <c r="C9" s="7">
        <v>1002</v>
      </c>
      <c r="D9" s="8" t="s">
        <v>13</v>
      </c>
      <c r="E9" s="9">
        <f>38+5-2</f>
        <v>41</v>
      </c>
      <c r="F9" s="10" t="s">
        <v>11</v>
      </c>
      <c r="G9" s="10">
        <f>SUMIF([1]!Table3[Código Institucional],'[1]ENTRADA 6-05-2022'!C9:C200,[1]!Table3[Cantidad])</f>
        <v>33</v>
      </c>
      <c r="H9" s="10">
        <f>SUMIF([1]!Table2[Código Institucional],'[1]ENTRADA 6-05-2022'!C9:C200,[1]!Table2[Cantidad])</f>
        <v>8</v>
      </c>
      <c r="I9" s="11">
        <v>218</v>
      </c>
      <c r="J9" s="12">
        <f t="shared" si="0"/>
        <v>1608.8400000000001</v>
      </c>
      <c r="K9" s="13">
        <f t="shared" si="1"/>
        <v>10546.84</v>
      </c>
    </row>
    <row r="10" spans="1:11" ht="17.25" x14ac:dyDescent="0.3">
      <c r="A10" s="6">
        <v>43594</v>
      </c>
      <c r="B10" s="6">
        <v>43717</v>
      </c>
      <c r="C10" s="7">
        <v>1003</v>
      </c>
      <c r="D10" s="8" t="s">
        <v>14</v>
      </c>
      <c r="E10" s="9">
        <v>3</v>
      </c>
      <c r="F10" s="10" t="s">
        <v>11</v>
      </c>
      <c r="G10" s="10">
        <f>SUMIF([1]!Table3[Código Institucional],'[1]ENTRADA 6-05-2022'!C10:C201,[1]!Table3[Cantidad])</f>
        <v>4</v>
      </c>
      <c r="H10" s="10">
        <f>SUMIF([1]!Table2[Código Institucional],'[1]ENTRADA 6-05-2022'!C10:C201,[1]!Table2[Cantidad])</f>
        <v>0</v>
      </c>
      <c r="I10" s="11">
        <v>330.75</v>
      </c>
      <c r="J10" s="12">
        <f t="shared" si="0"/>
        <v>178.60499999999999</v>
      </c>
      <c r="K10" s="13">
        <f t="shared" si="1"/>
        <v>1170.855</v>
      </c>
    </row>
    <row r="11" spans="1:11" ht="17.25" x14ac:dyDescent="0.3">
      <c r="A11" s="6">
        <v>43594</v>
      </c>
      <c r="B11" s="6">
        <v>43717</v>
      </c>
      <c r="C11" s="7">
        <v>1004</v>
      </c>
      <c r="D11" s="8" t="s">
        <v>15</v>
      </c>
      <c r="E11" s="9">
        <f>4-1</f>
        <v>3</v>
      </c>
      <c r="F11" s="10" t="s">
        <v>11</v>
      </c>
      <c r="G11" s="10">
        <f>SUMIF([1]!Table3[Código Institucional],'[1]ENTRADA 6-05-2022'!C11:C202,[1]!Table3[Cantidad])</f>
        <v>4</v>
      </c>
      <c r="H11" s="10">
        <f>SUMIF([1]!Table2[Código Institucional],'[1]ENTRADA 6-05-2022'!C11:C202,[1]!Table2[Cantidad])</f>
        <v>0</v>
      </c>
      <c r="I11" s="11">
        <v>430</v>
      </c>
      <c r="J11" s="12">
        <f t="shared" si="0"/>
        <v>232.2</v>
      </c>
      <c r="K11" s="13">
        <f t="shared" si="1"/>
        <v>1522.2</v>
      </c>
    </row>
    <row r="12" spans="1:11" ht="17.25" x14ac:dyDescent="0.3">
      <c r="A12" s="6">
        <v>43594</v>
      </c>
      <c r="B12" s="6">
        <v>43717</v>
      </c>
      <c r="C12" s="7">
        <v>1005</v>
      </c>
      <c r="D12" s="8" t="s">
        <v>16</v>
      </c>
      <c r="E12" s="9">
        <f>Table167910[[#This Row],[Qty Entrada]]-Table167910[[#This Row],[Qty Salida]]</f>
        <v>3</v>
      </c>
      <c r="F12" s="10" t="s">
        <v>11</v>
      </c>
      <c r="G12" s="10">
        <f>SUMIF([1]!Table3[Código Institucional],'[1]ENTRADA 6-05-2022'!C12:C203,[1]!Table3[Cantidad])</f>
        <v>3</v>
      </c>
      <c r="H12" s="10">
        <f>SUMIF([1]!Table2[Código Institucional],'[1]ENTRADA 6-05-2022'!C12:C203,[1]!Table2[Cantidad])</f>
        <v>0</v>
      </c>
      <c r="I12" s="11">
        <v>525</v>
      </c>
      <c r="J12" s="12">
        <f t="shared" si="0"/>
        <v>283.5</v>
      </c>
      <c r="K12" s="13">
        <f t="shared" si="1"/>
        <v>1858.5</v>
      </c>
    </row>
    <row r="13" spans="1:11" ht="17.25" x14ac:dyDescent="0.3">
      <c r="A13" s="6">
        <v>43594</v>
      </c>
      <c r="B13" s="6">
        <v>43717</v>
      </c>
      <c r="C13" s="7">
        <v>1006</v>
      </c>
      <c r="D13" s="8" t="s">
        <v>17</v>
      </c>
      <c r="E13" s="9">
        <v>4</v>
      </c>
      <c r="F13" s="10" t="s">
        <v>11</v>
      </c>
      <c r="G13" s="10">
        <f>SUMIF([1]!Table3[Código Institucional],'[1]ENTRADA 6-05-2022'!C13:C204,[1]!Table3[Cantidad])</f>
        <v>2</v>
      </c>
      <c r="H13" s="10">
        <f>SUMIF([1]!Table2[Código Institucional],'[1]ENTRADA 6-05-2022'!C13:C204,[1]!Table2[Cantidad])</f>
        <v>1</v>
      </c>
      <c r="I13" s="11">
        <v>490</v>
      </c>
      <c r="J13" s="12">
        <f t="shared" si="0"/>
        <v>352.8</v>
      </c>
      <c r="K13" s="13">
        <f t="shared" si="1"/>
        <v>2312.8000000000002</v>
      </c>
    </row>
    <row r="14" spans="1:11" ht="17.25" hidden="1" x14ac:dyDescent="0.3">
      <c r="A14" s="6">
        <v>43594</v>
      </c>
      <c r="B14" s="6">
        <v>43717</v>
      </c>
      <c r="C14" s="7">
        <v>1007</v>
      </c>
      <c r="D14" s="8" t="s">
        <v>18</v>
      </c>
      <c r="E14" s="9">
        <f>Table167910[[#This Row],[Qty Entrada]]-Table167910[[#This Row],[Qty Salida]]</f>
        <v>0</v>
      </c>
      <c r="F14" s="10" t="s">
        <v>11</v>
      </c>
      <c r="G14" s="10">
        <f>SUMIF([1]!Table3[Código Institucional],'[1]ENTRADA 6-05-2022'!C14:C205,[1]!Table3[Cantidad])</f>
        <v>2</v>
      </c>
      <c r="H14" s="10">
        <f>SUMIF([1]!Table2[Código Institucional],'[1]ENTRADA 6-05-2022'!C14:C205,[1]!Table2[Cantidad])</f>
        <v>2</v>
      </c>
      <c r="I14" s="11">
        <v>84</v>
      </c>
      <c r="J14" s="12">
        <f t="shared" si="0"/>
        <v>0</v>
      </c>
      <c r="K14" s="13">
        <f t="shared" si="1"/>
        <v>0</v>
      </c>
    </row>
    <row r="15" spans="1:11" ht="17.25" hidden="1" x14ac:dyDescent="0.3">
      <c r="A15" s="6">
        <v>43594</v>
      </c>
      <c r="B15" s="6">
        <v>43717</v>
      </c>
      <c r="C15" s="7">
        <v>1008</v>
      </c>
      <c r="D15" s="8"/>
      <c r="E15" s="9">
        <f>Table167910[[#This Row],[Qty Entrada]]-Table167910[[#This Row],[Qty Salida]]</f>
        <v>0</v>
      </c>
      <c r="F15" s="10"/>
      <c r="G15" s="10">
        <f>SUMIF([1]!Table3[Código Institucional],'[1]ENTRADA 6-05-2022'!C15:C206,[1]!Table3[Cantidad])</f>
        <v>0</v>
      </c>
      <c r="H15" s="10">
        <f>SUMIF([1]!Table2[Código Institucional],'[1]ENTRADA 6-05-2022'!C15:C206,[1]!Table2[Cantidad])</f>
        <v>0</v>
      </c>
      <c r="I15" s="11"/>
      <c r="J15" s="12">
        <f t="shared" si="0"/>
        <v>0</v>
      </c>
      <c r="K15" s="13">
        <f t="shared" si="1"/>
        <v>0</v>
      </c>
    </row>
    <row r="16" spans="1:11" ht="17.25" hidden="1" x14ac:dyDescent="0.3">
      <c r="A16" s="6">
        <v>43594</v>
      </c>
      <c r="B16" s="6">
        <v>43717</v>
      </c>
      <c r="C16" s="7">
        <v>1009</v>
      </c>
      <c r="D16" s="8"/>
      <c r="E16" s="9">
        <f>Table167910[[#This Row],[Qty Entrada]]-Table167910[[#This Row],[Qty Salida]]</f>
        <v>0</v>
      </c>
      <c r="F16" s="10"/>
      <c r="G16" s="10">
        <f>SUMIF([1]!Table3[Código Institucional],'[1]ENTRADA 6-05-2022'!C16:C207,[1]!Table3[Cantidad])</f>
        <v>0</v>
      </c>
      <c r="H16" s="10">
        <f>SUMIF([1]!Table2[Código Institucional],'[1]ENTRADA 6-05-2022'!C16:C207,[1]!Table2[Cantidad])</f>
        <v>0</v>
      </c>
      <c r="I16" s="11"/>
      <c r="J16" s="12">
        <f t="shared" si="0"/>
        <v>0</v>
      </c>
      <c r="K16" s="13">
        <f t="shared" si="1"/>
        <v>0</v>
      </c>
    </row>
    <row r="17" spans="1:11" ht="17.25" x14ac:dyDescent="0.3">
      <c r="A17" s="6">
        <v>43594</v>
      </c>
      <c r="B17" s="6">
        <v>44687</v>
      </c>
      <c r="C17" s="7">
        <v>1010</v>
      </c>
      <c r="D17" s="8" t="s">
        <v>19</v>
      </c>
      <c r="E17" s="9">
        <f>115+100</f>
        <v>215</v>
      </c>
      <c r="F17" s="10" t="s">
        <v>20</v>
      </c>
      <c r="G17" s="10">
        <f>SUMIF([1]!Table3[Código Institucional],'[1]ENTRADA 6-05-2022'!C17:C208,[1]!Table3[Cantidad])</f>
        <v>352</v>
      </c>
      <c r="H17" s="10">
        <f>SUMIF([1]!Table2[Código Institucional],'[1]ENTRADA 6-05-2022'!C17:C208,[1]!Table2[Cantidad])</f>
        <v>167</v>
      </c>
      <c r="I17" s="11">
        <v>1.1000000000000001</v>
      </c>
      <c r="J17" s="12">
        <f t="shared" si="0"/>
        <v>42.57</v>
      </c>
      <c r="K17" s="13">
        <f t="shared" si="1"/>
        <v>279.07000000000005</v>
      </c>
    </row>
    <row r="18" spans="1:11" ht="17.25" x14ac:dyDescent="0.3">
      <c r="A18" s="6">
        <v>43594</v>
      </c>
      <c r="B18" s="6">
        <v>43717</v>
      </c>
      <c r="C18" s="7">
        <v>1011</v>
      </c>
      <c r="D18" s="8" t="s">
        <v>21</v>
      </c>
      <c r="E18" s="9">
        <v>357</v>
      </c>
      <c r="F18" s="10" t="s">
        <v>20</v>
      </c>
      <c r="G18" s="10">
        <f>SUMIF([1]!Table3[Código Institucional],'[1]ENTRADA 6-05-2022'!C18:C209,[1]!Table3[Cantidad])</f>
        <v>301</v>
      </c>
      <c r="H18" s="10">
        <f>SUMIF([1]!Table2[Código Institucional],'[1]ENTRADA 6-05-2022'!C18:C209,[1]!Table2[Cantidad])</f>
        <v>101</v>
      </c>
      <c r="I18" s="11">
        <v>3.58</v>
      </c>
      <c r="J18" s="12">
        <f t="shared" si="0"/>
        <v>230.05079999999998</v>
      </c>
      <c r="K18" s="13">
        <f t="shared" si="1"/>
        <v>1508.1107999999999</v>
      </c>
    </row>
    <row r="19" spans="1:11" ht="17.25" x14ac:dyDescent="0.3">
      <c r="A19" s="6">
        <v>43594</v>
      </c>
      <c r="B19" s="6">
        <v>44687</v>
      </c>
      <c r="C19" s="7">
        <v>1012</v>
      </c>
      <c r="D19" s="8" t="s">
        <v>22</v>
      </c>
      <c r="E19" s="9">
        <v>224</v>
      </c>
      <c r="F19" s="10" t="s">
        <v>20</v>
      </c>
      <c r="G19" s="10">
        <f>SUMIF([1]!Table3[Código Institucional],'[1]ENTRADA 6-05-2022'!C19:C210,[1]!Table3[Cantidad])</f>
        <v>294</v>
      </c>
      <c r="H19" s="14">
        <f>SUMIF([1]!Table2[Código Institucional],'[1]ENTRADA 6-05-2022'!C19:C210,[1]!Table2[Cantidad])+50</f>
        <v>179</v>
      </c>
      <c r="I19" s="11">
        <v>1.52</v>
      </c>
      <c r="J19" s="12">
        <f t="shared" si="0"/>
        <v>61.2864</v>
      </c>
      <c r="K19" s="13">
        <f t="shared" si="1"/>
        <v>401.76640000000003</v>
      </c>
    </row>
    <row r="20" spans="1:11" ht="17.25" x14ac:dyDescent="0.3">
      <c r="A20" s="6">
        <v>43594</v>
      </c>
      <c r="B20" s="6">
        <v>44315</v>
      </c>
      <c r="C20" s="7">
        <v>1013</v>
      </c>
      <c r="D20" s="8" t="s">
        <v>23</v>
      </c>
      <c r="E20" s="9">
        <v>200</v>
      </c>
      <c r="F20" s="10" t="s">
        <v>20</v>
      </c>
      <c r="G20" s="10">
        <f>SUMIF([1]!Table3[Código Institucional],'[1]ENTRADA 6-05-2022'!C20:C211,[1]!Table3[Cantidad])</f>
        <v>296</v>
      </c>
      <c r="H20" s="10">
        <f>SUMIF([1]!Table2[Código Institucional],'[1]ENTRADA 6-05-2022'!C20:C211,[1]!Table2[Cantidad])</f>
        <v>195</v>
      </c>
      <c r="I20" s="11">
        <v>2.8</v>
      </c>
      <c r="J20" s="12">
        <f t="shared" si="0"/>
        <v>100.8</v>
      </c>
      <c r="K20" s="13">
        <f t="shared" si="1"/>
        <v>660.8</v>
      </c>
    </row>
    <row r="21" spans="1:11" ht="17.25" x14ac:dyDescent="0.3">
      <c r="A21" s="6">
        <v>43594</v>
      </c>
      <c r="B21" s="6">
        <v>43717</v>
      </c>
      <c r="C21" s="7">
        <v>1014</v>
      </c>
      <c r="D21" s="8" t="s">
        <v>24</v>
      </c>
      <c r="E21" s="9">
        <f>Table167910[[#This Row],[Qty Entrada]]-Table167910[[#This Row],[Qty Salida]]</f>
        <v>1</v>
      </c>
      <c r="F21" s="10" t="s">
        <v>25</v>
      </c>
      <c r="G21" s="10">
        <f>SUMIF([1]!Table3[Código Institucional],'[1]ENTRADA 6-05-2022'!C21:C212,[1]!Table3[Cantidad])</f>
        <v>3</v>
      </c>
      <c r="H21" s="10">
        <f>SUMIF([1]!Table2[Código Institucional],'[1]ENTRADA 6-05-2022'!C21:C212,[1]!Table2[Cantidad])</f>
        <v>2</v>
      </c>
      <c r="I21" s="11">
        <v>160.16999999999999</v>
      </c>
      <c r="J21" s="12">
        <f t="shared" si="0"/>
        <v>28.830599999999997</v>
      </c>
      <c r="K21" s="13">
        <f t="shared" si="1"/>
        <v>189.00059999999999</v>
      </c>
    </row>
    <row r="22" spans="1:11" ht="17.25" hidden="1" x14ac:dyDescent="0.3">
      <c r="A22" s="6">
        <v>43594</v>
      </c>
      <c r="B22" s="6">
        <v>43717</v>
      </c>
      <c r="C22" s="7">
        <v>1015</v>
      </c>
      <c r="D22" s="8" t="s">
        <v>26</v>
      </c>
      <c r="E22" s="9">
        <f>Table167910[[#This Row],[Qty Entrada]]-Table167910[[#This Row],[Qty Salida]]</f>
        <v>0</v>
      </c>
      <c r="F22" s="10" t="s">
        <v>20</v>
      </c>
      <c r="G22" s="10">
        <f>SUMIF([1]!Table3[Código Institucional],'[1]ENTRADA 6-05-2022'!C22:C213,[1]!Table3[Cantidad])</f>
        <v>0</v>
      </c>
      <c r="H22" s="10">
        <f>SUMIF([1]!Table2[Código Institucional],'[1]ENTRADA 6-05-2022'!C22:C213,[1]!Table2[Cantidad])</f>
        <v>0</v>
      </c>
      <c r="I22" s="11">
        <v>32.15</v>
      </c>
      <c r="J22" s="12">
        <f t="shared" si="0"/>
        <v>0</v>
      </c>
      <c r="K22" s="13">
        <f t="shared" si="1"/>
        <v>0</v>
      </c>
    </row>
    <row r="23" spans="1:11" ht="17.25" x14ac:dyDescent="0.3">
      <c r="A23" s="6">
        <v>43594</v>
      </c>
      <c r="B23" s="6">
        <v>43717</v>
      </c>
      <c r="C23" s="7">
        <v>1016</v>
      </c>
      <c r="D23" s="8" t="s">
        <v>27</v>
      </c>
      <c r="E23" s="9">
        <v>169</v>
      </c>
      <c r="F23" s="10" t="s">
        <v>20</v>
      </c>
      <c r="G23" s="10">
        <f>SUMIF([1]!Table3[Código Institucional],'[1]ENTRADA 6-05-2022'!C23:C214,[1]!Table3[Cantidad])</f>
        <v>148</v>
      </c>
      <c r="H23" s="10">
        <f>SUMIF([1]!Table2[Código Institucional],'[1]ENTRADA 6-05-2022'!C23:C214,[1]!Table2[Cantidad])</f>
        <v>10</v>
      </c>
      <c r="I23" s="11">
        <v>28</v>
      </c>
      <c r="J23" s="12">
        <f t="shared" si="0"/>
        <v>851.76</v>
      </c>
      <c r="K23" s="13">
        <f t="shared" si="1"/>
        <v>5583.76</v>
      </c>
    </row>
    <row r="24" spans="1:11" ht="17.25" x14ac:dyDescent="0.3">
      <c r="A24" s="6">
        <v>43594</v>
      </c>
      <c r="B24" s="6">
        <v>44687</v>
      </c>
      <c r="C24" s="7">
        <v>1017</v>
      </c>
      <c r="D24" s="8" t="s">
        <v>28</v>
      </c>
      <c r="E24" s="9">
        <f>12+12</f>
        <v>24</v>
      </c>
      <c r="F24" s="10" t="s">
        <v>25</v>
      </c>
      <c r="G24" s="10">
        <f>SUMIF([1]!Table3[Código Institucional],'[1]ENTRADA 6-05-2022'!C24:C215,[1]!Table3[Cantidad])</f>
        <v>21</v>
      </c>
      <c r="H24" s="10">
        <f>SUMIF([1]!Table2[Código Institucional],'[1]ENTRADA 6-05-2022'!C24:C215,[1]!Table2[Cantidad])</f>
        <v>6</v>
      </c>
      <c r="I24" s="11">
        <v>130</v>
      </c>
      <c r="J24" s="12">
        <f>I24*18%*E24</f>
        <v>561.59999999999991</v>
      </c>
      <c r="K24" s="13">
        <f t="shared" si="1"/>
        <v>3681.6</v>
      </c>
    </row>
    <row r="25" spans="1:11" ht="17.25" hidden="1" x14ac:dyDescent="0.3">
      <c r="A25" s="6">
        <v>43594</v>
      </c>
      <c r="B25" s="6">
        <v>43717</v>
      </c>
      <c r="C25" s="7">
        <v>1018</v>
      </c>
      <c r="D25" s="8" t="s">
        <v>29</v>
      </c>
      <c r="E25" s="9">
        <f>Table167910[[#This Row],[Qty Entrada]]-Table167910[[#This Row],[Qty Salida]]</f>
        <v>0</v>
      </c>
      <c r="F25" s="10" t="s">
        <v>20</v>
      </c>
      <c r="G25" s="10">
        <f>SUMIF([1]!Table3[Código Institucional],'[1]ENTRADA 6-05-2022'!C25:C216,[1]!Table3[Cantidad])</f>
        <v>0</v>
      </c>
      <c r="H25" s="10">
        <f>SUMIF([1]!Table2[Código Institucional],'[1]ENTRADA 6-05-2022'!C25:C216,[1]!Table2[Cantidad])</f>
        <v>0</v>
      </c>
      <c r="I25" s="11">
        <v>30</v>
      </c>
      <c r="J25" s="12">
        <f>I25*18%*E25</f>
        <v>0</v>
      </c>
      <c r="K25" s="13">
        <f t="shared" si="1"/>
        <v>0</v>
      </c>
    </row>
    <row r="26" spans="1:11" ht="17.25" x14ac:dyDescent="0.3">
      <c r="A26" s="6">
        <v>43594</v>
      </c>
      <c r="B26" s="6">
        <v>44687</v>
      </c>
      <c r="C26" s="7">
        <v>1019</v>
      </c>
      <c r="D26" s="8" t="s">
        <v>30</v>
      </c>
      <c r="E26" s="9">
        <f>233+100-53-53</f>
        <v>227</v>
      </c>
      <c r="F26" s="10" t="s">
        <v>20</v>
      </c>
      <c r="G26" s="10">
        <f>SUMIF([1]!Table3[Código Institucional],'[1]ENTRADA 6-05-2022'!C26:C217,[1]!Table3[Cantidad])</f>
        <v>583</v>
      </c>
      <c r="H26" s="10">
        <f>SUMIF([1]!Table2[Código Institucional],'[1]ENTRADA 6-05-2022'!C26:C217,[1]!Table2[Cantidad])</f>
        <v>285</v>
      </c>
      <c r="I26" s="11">
        <v>1.1000000000000001</v>
      </c>
      <c r="J26" s="12">
        <f t="shared" si="0"/>
        <v>44.946000000000005</v>
      </c>
      <c r="K26" s="13">
        <f t="shared" si="1"/>
        <v>294.64600000000002</v>
      </c>
    </row>
    <row r="27" spans="1:11" ht="17.25" hidden="1" x14ac:dyDescent="0.3">
      <c r="A27" s="6">
        <v>43594</v>
      </c>
      <c r="B27" s="6">
        <v>43717</v>
      </c>
      <c r="C27" s="7">
        <v>1020</v>
      </c>
      <c r="D27" s="8" t="s">
        <v>31</v>
      </c>
      <c r="E27" s="9">
        <f>Table167910[[#This Row],[Qty Entrada]]-Table167910[[#This Row],[Qty Salida]]</f>
        <v>0</v>
      </c>
      <c r="F27" s="10" t="s">
        <v>20</v>
      </c>
      <c r="G27" s="10">
        <f>SUMIF([1]!Table3[Código Institucional],'[1]ENTRADA 6-05-2022'!C27:C218,[1]!Table3[Cantidad])</f>
        <v>0</v>
      </c>
      <c r="H27" s="10">
        <f>SUMIF([1]!Table2[Código Institucional],'[1]ENTRADA 6-05-2022'!C27:C218,[1]!Table2[Cantidad])</f>
        <v>0</v>
      </c>
      <c r="I27" s="11">
        <v>3.15</v>
      </c>
      <c r="J27" s="12">
        <f t="shared" si="0"/>
        <v>0</v>
      </c>
      <c r="K27" s="13">
        <f t="shared" si="1"/>
        <v>0</v>
      </c>
    </row>
    <row r="28" spans="1:11" ht="17.25" x14ac:dyDescent="0.3">
      <c r="A28" s="6">
        <v>43594</v>
      </c>
      <c r="B28" s="6">
        <v>43717</v>
      </c>
      <c r="C28" s="7">
        <v>1021</v>
      </c>
      <c r="D28" s="16" t="s">
        <v>32</v>
      </c>
      <c r="E28" s="9">
        <f>200-6-10</f>
        <v>184</v>
      </c>
      <c r="F28" s="10" t="s">
        <v>20</v>
      </c>
      <c r="G28" s="10">
        <f>SUMIF([1]!Table3[Código Institucional],'[1]ENTRADA 6-05-2022'!C28:C219,[1]!Table3[Cantidad])</f>
        <v>500</v>
      </c>
      <c r="H28" s="10">
        <f>SUMIF([1]!Table2[Código Institucional],'[1]ENTRADA 6-05-2022'!C28:C219,[1]!Table2[Cantidad])</f>
        <v>300</v>
      </c>
      <c r="I28" s="11">
        <v>2.88</v>
      </c>
      <c r="J28" s="12">
        <f t="shared" si="0"/>
        <v>95.385599999999997</v>
      </c>
      <c r="K28" s="13">
        <f>E28*I28+J28</f>
        <v>625.30559999999991</v>
      </c>
    </row>
    <row r="29" spans="1:11" ht="18" customHeight="1" x14ac:dyDescent="0.3">
      <c r="A29" s="6">
        <v>43594</v>
      </c>
      <c r="B29" s="6">
        <v>43717</v>
      </c>
      <c r="C29" s="7">
        <v>1022</v>
      </c>
      <c r="D29" s="8" t="s">
        <v>33</v>
      </c>
      <c r="E29" s="9">
        <f>Table167910[[#This Row],[Qty Entrada]]-Table167910[[#This Row],[Qty Salida]]</f>
        <v>32</v>
      </c>
      <c r="F29" s="10" t="s">
        <v>20</v>
      </c>
      <c r="G29" s="10">
        <f>SUMIF([1]!Table3[Código Institucional],'[1]ENTRADA 6-05-2022'!C29:C220,[1]!Table3[Cantidad])</f>
        <v>38</v>
      </c>
      <c r="H29" s="10">
        <f>SUMIF([1]!Table2[Código Institucional],'[1]ENTRADA 6-05-2022'!C29:C220,[1]!Table2[Cantidad])</f>
        <v>6</v>
      </c>
      <c r="I29" s="11">
        <v>39</v>
      </c>
      <c r="J29" s="12">
        <v>0</v>
      </c>
      <c r="K29" s="13">
        <f t="shared" si="1"/>
        <v>1248</v>
      </c>
    </row>
    <row r="30" spans="1:11" ht="15" customHeight="1" x14ac:dyDescent="0.3">
      <c r="A30" s="6">
        <v>43594</v>
      </c>
      <c r="B30" s="6">
        <v>43717</v>
      </c>
      <c r="C30" s="7">
        <v>1023</v>
      </c>
      <c r="D30" s="8" t="s">
        <v>34</v>
      </c>
      <c r="E30" s="9">
        <f>Table167910[[#This Row],[Qty Entrada]]-Table167910[[#This Row],[Qty Salida]]</f>
        <v>11</v>
      </c>
      <c r="F30" s="10" t="s">
        <v>20</v>
      </c>
      <c r="G30" s="10">
        <f>SUMIF([1]!Table3[Código Institucional],'[1]ENTRADA 6-05-2022'!C30:C221,[1]!Table3[Cantidad])</f>
        <v>12</v>
      </c>
      <c r="H30" s="10">
        <f>SUMIF([1]!Table2[Código Institucional],'[1]ENTRADA 6-05-2022'!C30:C221,[1]!Table2[Cantidad])</f>
        <v>1</v>
      </c>
      <c r="I30" s="11">
        <v>39</v>
      </c>
      <c r="J30" s="12">
        <v>0</v>
      </c>
      <c r="K30" s="13">
        <f t="shared" si="1"/>
        <v>429</v>
      </c>
    </row>
    <row r="31" spans="1:11" ht="17.25" x14ac:dyDescent="0.3">
      <c r="A31" s="6">
        <v>43594</v>
      </c>
      <c r="B31" s="6">
        <v>44687</v>
      </c>
      <c r="C31" s="7">
        <v>1024</v>
      </c>
      <c r="D31" s="8" t="s">
        <v>35</v>
      </c>
      <c r="E31" s="9">
        <f>63+12</f>
        <v>75</v>
      </c>
      <c r="F31" s="10" t="s">
        <v>20</v>
      </c>
      <c r="G31" s="10">
        <f>SUMIF([1]!Table3[Código Institucional],'[1]ENTRADA 6-05-2022'!C31:C222,[1]!Table3[Cantidad])</f>
        <v>55</v>
      </c>
      <c r="H31" s="10">
        <f>SUMIF([1]!Table2[Código Institucional],'[1]ENTRADA 6-05-2022'!C31:C222,[1]!Table2[Cantidad])</f>
        <v>14</v>
      </c>
      <c r="I31" s="11">
        <v>18</v>
      </c>
      <c r="J31" s="12">
        <v>0</v>
      </c>
      <c r="K31" s="13">
        <f t="shared" si="1"/>
        <v>1350</v>
      </c>
    </row>
    <row r="32" spans="1:11" ht="17.25" x14ac:dyDescent="0.3">
      <c r="A32" s="6">
        <v>43594</v>
      </c>
      <c r="B32" s="6">
        <v>44687</v>
      </c>
      <c r="C32" s="7">
        <v>1025</v>
      </c>
      <c r="D32" s="8" t="s">
        <v>36</v>
      </c>
      <c r="E32" s="9">
        <f>109+12</f>
        <v>121</v>
      </c>
      <c r="F32" s="10" t="s">
        <v>20</v>
      </c>
      <c r="G32" s="10">
        <f>SUMIF([1]!Table3[Código Institucional],'[1]ENTRADA 6-05-2022'!C32:C223,[1]!Table3[Cantidad])</f>
        <v>157</v>
      </c>
      <c r="H32" s="10">
        <f>SUMIF([1]!Table2[Código Institucional],'[1]ENTRADA 6-05-2022'!C32:C223,[1]!Table2[Cantidad])</f>
        <v>95</v>
      </c>
      <c r="I32" s="11">
        <v>18</v>
      </c>
      <c r="J32" s="12">
        <v>0</v>
      </c>
      <c r="K32" s="13">
        <f t="shared" si="1"/>
        <v>2178</v>
      </c>
    </row>
    <row r="33" spans="1:11" ht="17.25" x14ac:dyDescent="0.3">
      <c r="A33" s="6">
        <v>43594</v>
      </c>
      <c r="B33" s="6">
        <v>44687</v>
      </c>
      <c r="C33" s="7">
        <v>1026</v>
      </c>
      <c r="D33" s="8" t="s">
        <v>37</v>
      </c>
      <c r="E33" s="9">
        <f>80+12</f>
        <v>92</v>
      </c>
      <c r="F33" s="10" t="s">
        <v>20</v>
      </c>
      <c r="G33" s="10">
        <f>SUMIF([1]!Table3[Código Institucional],'[1]ENTRADA 6-05-2022'!C33:C224,[1]!Table3[Cantidad])</f>
        <v>120</v>
      </c>
      <c r="H33" s="10">
        <f>SUMIF([1]!Table2[Código Institucional],'[1]ENTRADA 6-05-2022'!C33:C224,[1]!Table2[Cantidad])</f>
        <v>55</v>
      </c>
      <c r="I33" s="11">
        <v>18</v>
      </c>
      <c r="J33" s="12">
        <v>0</v>
      </c>
      <c r="K33" s="13">
        <f t="shared" si="1"/>
        <v>1656</v>
      </c>
    </row>
    <row r="34" spans="1:11" ht="17.25" x14ac:dyDescent="0.3">
      <c r="A34" s="6">
        <v>43594</v>
      </c>
      <c r="B34" s="6">
        <v>44687</v>
      </c>
      <c r="C34" s="7">
        <v>1028</v>
      </c>
      <c r="D34" s="8" t="s">
        <v>38</v>
      </c>
      <c r="E34" s="9">
        <f>20+36-1-2</f>
        <v>53</v>
      </c>
      <c r="F34" s="10" t="s">
        <v>20</v>
      </c>
      <c r="G34" s="10">
        <f>SUMIF([1]!Table3[Código Institucional],'[1]ENTRADA 6-05-2022'!C34:C226,[1]!Table3[Cantidad])</f>
        <v>135</v>
      </c>
      <c r="H34" s="10">
        <f>SUMIF([1]!Table2[Código Institucional],'[1]ENTRADA 6-05-2022'!C34:C226,[1]!Table2[Cantidad])</f>
        <v>38</v>
      </c>
      <c r="I34" s="11">
        <v>184</v>
      </c>
      <c r="J34" s="12">
        <v>0</v>
      </c>
      <c r="K34" s="13">
        <f t="shared" si="1"/>
        <v>9752</v>
      </c>
    </row>
    <row r="35" spans="1:11" ht="17.25" x14ac:dyDescent="0.3">
      <c r="A35" s="6">
        <v>43594</v>
      </c>
      <c r="B35" s="6">
        <v>43717</v>
      </c>
      <c r="C35" s="7">
        <v>1029</v>
      </c>
      <c r="D35" s="8" t="s">
        <v>39</v>
      </c>
      <c r="E35" s="9">
        <v>49</v>
      </c>
      <c r="F35" s="10" t="s">
        <v>20</v>
      </c>
      <c r="G35" s="10">
        <f>SUMIF([1]!Table3[Código Institucional],'[1]ENTRADA 6-05-2022'!C35:C227,[1]!Table3[Cantidad])</f>
        <v>60</v>
      </c>
      <c r="H35" s="10">
        <f>SUMIF([1]!Table2[Código Institucional],'[1]ENTRADA 6-05-2022'!C35:C227,[1]!Table2[Cantidad])</f>
        <v>10</v>
      </c>
      <c r="I35" s="11">
        <v>18</v>
      </c>
      <c r="J35" s="12">
        <f t="shared" si="0"/>
        <v>158.76</v>
      </c>
      <c r="K35" s="13">
        <f t="shared" si="1"/>
        <v>1040.76</v>
      </c>
    </row>
    <row r="36" spans="1:11" ht="17.25" x14ac:dyDescent="0.3">
      <c r="A36" s="6">
        <v>43594</v>
      </c>
      <c r="B36" s="6">
        <v>43717</v>
      </c>
      <c r="C36" s="7">
        <v>1030</v>
      </c>
      <c r="D36" s="8" t="s">
        <v>40</v>
      </c>
      <c r="E36" s="9">
        <v>12</v>
      </c>
      <c r="F36" s="10" t="s">
        <v>20</v>
      </c>
      <c r="G36" s="10">
        <f>SUMIF([1]!Table3[Código Institucional],'[1]ENTRADA 6-05-2022'!C36:C228,[1]!Table3[Cantidad])</f>
        <v>12</v>
      </c>
      <c r="H36" s="10">
        <f>SUMIF([1]!Table2[Código Institucional],'[1]ENTRADA 6-05-2022'!C36:C228,[1]!Table2[Cantidad])</f>
        <v>1</v>
      </c>
      <c r="I36" s="11">
        <v>18</v>
      </c>
      <c r="J36" s="12">
        <f t="shared" si="0"/>
        <v>38.879999999999995</v>
      </c>
      <c r="K36" s="13">
        <f t="shared" si="1"/>
        <v>254.88</v>
      </c>
    </row>
    <row r="37" spans="1:11" ht="17.25" x14ac:dyDescent="0.3">
      <c r="A37" s="6">
        <v>43594</v>
      </c>
      <c r="B37" s="6">
        <v>44315</v>
      </c>
      <c r="C37" s="7">
        <v>1031</v>
      </c>
      <c r="D37" s="8" t="s">
        <v>41</v>
      </c>
      <c r="E37" s="9">
        <v>68</v>
      </c>
      <c r="F37" s="10" t="s">
        <v>20</v>
      </c>
      <c r="G37" s="10">
        <f>SUMIF([1]!Table3[Código Institucional],'[1]ENTRADA 6-05-2022'!C37:C229,[1]!Table3[Cantidad])</f>
        <v>120</v>
      </c>
      <c r="H37" s="10">
        <f>SUMIF([1]!Table2[Código Institucional],'[1]ENTRADA 6-05-2022'!C37:C229,[1]!Table2[Cantidad])</f>
        <v>71</v>
      </c>
      <c r="I37" s="11">
        <v>5.88</v>
      </c>
      <c r="J37" s="12">
        <f t="shared" si="0"/>
        <v>71.971199999999996</v>
      </c>
      <c r="K37" s="13">
        <f t="shared" si="1"/>
        <v>471.81119999999999</v>
      </c>
    </row>
    <row r="38" spans="1:11" ht="17.25" x14ac:dyDescent="0.3">
      <c r="A38" s="6">
        <v>43594</v>
      </c>
      <c r="B38" s="6">
        <v>44315</v>
      </c>
      <c r="C38" s="7">
        <v>1032</v>
      </c>
      <c r="D38" s="8" t="s">
        <v>42</v>
      </c>
      <c r="E38" s="9">
        <f>19-1</f>
        <v>18</v>
      </c>
      <c r="F38" s="10" t="s">
        <v>20</v>
      </c>
      <c r="G38" s="10">
        <f>SUMIF([1]!Table3[Código Institucional],'[1]ENTRADA 6-05-2022'!C38:C230,[1]!Table3[Cantidad])</f>
        <v>31</v>
      </c>
      <c r="H38" s="10">
        <f>SUMIF([1]!Table2[Código Institucional],'[1]ENTRADA 6-05-2022'!C38:C230,[1]!Table2[Cantidad])</f>
        <v>12</v>
      </c>
      <c r="I38" s="11">
        <v>195.5</v>
      </c>
      <c r="J38" s="12">
        <f t="shared" si="0"/>
        <v>633.41999999999996</v>
      </c>
      <c r="K38" s="13">
        <f t="shared" si="1"/>
        <v>4152.42</v>
      </c>
    </row>
    <row r="39" spans="1:11" ht="17.25" x14ac:dyDescent="0.3">
      <c r="A39" s="6">
        <v>43594</v>
      </c>
      <c r="B39" s="6">
        <v>44315</v>
      </c>
      <c r="C39" s="7">
        <v>1033</v>
      </c>
      <c r="D39" s="8" t="s">
        <v>43</v>
      </c>
      <c r="E39" s="17">
        <f>18-1</f>
        <v>17</v>
      </c>
      <c r="F39" s="10" t="s">
        <v>20</v>
      </c>
      <c r="G39" s="10">
        <f>SUMIF([1]!Table3[Código Institucional],'[1]ENTRADA 6-05-2022'!C39:C231,[1]!Table3[Cantidad])</f>
        <v>23</v>
      </c>
      <c r="H39" s="10">
        <f>SUMIF([1]!Table2[Código Institucional],'[1]ENTRADA 6-05-2022'!C39:C231,[1]!Table2[Cantidad])</f>
        <v>6</v>
      </c>
      <c r="I39" s="11">
        <v>24.58</v>
      </c>
      <c r="J39" s="12">
        <f t="shared" si="0"/>
        <v>75.214799999999997</v>
      </c>
      <c r="K39" s="13">
        <f t="shared" si="1"/>
        <v>493.07479999999998</v>
      </c>
    </row>
    <row r="40" spans="1:11" ht="17.25" x14ac:dyDescent="0.3">
      <c r="A40" s="6">
        <v>43594</v>
      </c>
      <c r="B40" s="6">
        <v>44315</v>
      </c>
      <c r="C40" s="7">
        <v>1034</v>
      </c>
      <c r="D40" s="8" t="s">
        <v>44</v>
      </c>
      <c r="E40" s="9">
        <v>32</v>
      </c>
      <c r="F40" s="10" t="s">
        <v>20</v>
      </c>
      <c r="G40" s="10">
        <f>SUMIF([1]!Table3[Código Institucional],'[1]ENTRADA 6-05-2022'!C40:C232,[1]!Table3[Cantidad])</f>
        <v>48</v>
      </c>
      <c r="H40" s="10">
        <f>SUMIF([1]!Table2[Código Institucional],'[1]ENTRADA 6-05-2022'!C40:C232,[1]!Table2[Cantidad])</f>
        <v>36</v>
      </c>
      <c r="I40" s="11">
        <v>24</v>
      </c>
      <c r="J40" s="12">
        <f t="shared" si="0"/>
        <v>138.24</v>
      </c>
      <c r="K40" s="13">
        <f t="shared" si="1"/>
        <v>906.24</v>
      </c>
    </row>
    <row r="41" spans="1:11" ht="17.25" x14ac:dyDescent="0.3">
      <c r="A41" s="6">
        <v>43594</v>
      </c>
      <c r="B41" s="6">
        <v>44315</v>
      </c>
      <c r="C41" s="7">
        <v>1035</v>
      </c>
      <c r="D41" s="8" t="s">
        <v>45</v>
      </c>
      <c r="E41" s="9">
        <v>46</v>
      </c>
      <c r="F41" s="10" t="s">
        <v>20</v>
      </c>
      <c r="G41" s="10">
        <f>SUMIF([1]!Table3[Código Institucional],'[1]ENTRADA 6-05-2022'!C41:C233,[1]!Table3[Cantidad])</f>
        <v>24</v>
      </c>
      <c r="H41" s="10">
        <f>SUMIF([1]!Table2[Código Institucional],'[1]ENTRADA 6-05-2022'!C41:C233,[1]!Table2[Cantidad])</f>
        <v>0</v>
      </c>
      <c r="I41" s="11">
        <v>90</v>
      </c>
      <c r="J41" s="12">
        <f t="shared" si="0"/>
        <v>745.19999999999993</v>
      </c>
      <c r="K41" s="13">
        <f t="shared" si="1"/>
        <v>4885.2</v>
      </c>
    </row>
    <row r="42" spans="1:11" ht="17.25" x14ac:dyDescent="0.3">
      <c r="A42" s="6">
        <v>43594</v>
      </c>
      <c r="B42" s="6">
        <v>44315</v>
      </c>
      <c r="C42" s="7">
        <v>1036</v>
      </c>
      <c r="D42" s="8" t="s">
        <v>46</v>
      </c>
      <c r="E42" s="9">
        <v>47</v>
      </c>
      <c r="F42" s="10" t="s">
        <v>20</v>
      </c>
      <c r="G42" s="10">
        <f>SUMIF([1]!Table3[Código Institucional],'[1]ENTRADA 6-05-2022'!C42:C234,[1]!Table3[Cantidad])</f>
        <v>24</v>
      </c>
      <c r="H42" s="10">
        <f>SUMIF([1]!Table2[Código Institucional],'[1]ENTRADA 6-05-2022'!C42:C234,[1]!Table2[Cantidad])</f>
        <v>0</v>
      </c>
      <c r="I42" s="11">
        <v>90</v>
      </c>
      <c r="J42" s="12">
        <f t="shared" si="0"/>
        <v>761.4</v>
      </c>
      <c r="K42" s="13">
        <f t="shared" si="1"/>
        <v>4991.3999999999996</v>
      </c>
    </row>
    <row r="43" spans="1:11" ht="17.25" x14ac:dyDescent="0.3">
      <c r="A43" s="6">
        <v>43594</v>
      </c>
      <c r="B43" s="6">
        <v>44315</v>
      </c>
      <c r="C43" s="7">
        <v>1037</v>
      </c>
      <c r="D43" s="8" t="s">
        <v>47</v>
      </c>
      <c r="E43" s="9">
        <f>48-3-1</f>
        <v>44</v>
      </c>
      <c r="F43" s="10" t="s">
        <v>20</v>
      </c>
      <c r="G43" s="10">
        <f>SUMIF([1]!Table3[Código Institucional],'[1]ENTRADA 6-05-2022'!C43:C235,[1]!Table3[Cantidad])</f>
        <v>80</v>
      </c>
      <c r="H43" s="10">
        <f>SUMIF([1]!Table2[Código Institucional],'[1]ENTRADA 6-05-2022'!C43:C235,[1]!Table2[Cantidad])</f>
        <v>38</v>
      </c>
      <c r="I43" s="11">
        <v>5.46</v>
      </c>
      <c r="J43" s="12">
        <f t="shared" si="0"/>
        <v>43.243200000000002</v>
      </c>
      <c r="K43" s="13">
        <f t="shared" si="1"/>
        <v>283.48320000000001</v>
      </c>
    </row>
    <row r="44" spans="1:11" ht="17.25" x14ac:dyDescent="0.3">
      <c r="A44" s="6">
        <v>43594</v>
      </c>
      <c r="B44" s="6">
        <v>44687</v>
      </c>
      <c r="C44" s="7">
        <v>1038</v>
      </c>
      <c r="D44" s="8" t="s">
        <v>48</v>
      </c>
      <c r="E44" s="9">
        <f>7+24</f>
        <v>31</v>
      </c>
      <c r="F44" s="10" t="s">
        <v>20</v>
      </c>
      <c r="G44" s="10">
        <f>SUMIF([1]!Table3[Código Institucional],'[1]ENTRADA 6-05-2022'!C44:C236,[1]!Table3[Cantidad])</f>
        <v>26</v>
      </c>
      <c r="H44" s="10">
        <f>SUMIF([1]!Table2[Código Institucional],'[1]ENTRADA 6-05-2022'!C44:C236,[1]!Table2[Cantidad])</f>
        <v>22</v>
      </c>
      <c r="I44" s="11">
        <v>4.3499999999999996</v>
      </c>
      <c r="J44" s="12">
        <f t="shared" si="0"/>
        <v>24.272999999999996</v>
      </c>
      <c r="K44" s="13">
        <f t="shared" si="1"/>
        <v>159.12299999999999</v>
      </c>
    </row>
    <row r="45" spans="1:11" ht="17.25" hidden="1" x14ac:dyDescent="0.3">
      <c r="A45" s="6">
        <v>43594</v>
      </c>
      <c r="B45" s="6">
        <v>43717</v>
      </c>
      <c r="C45" s="7">
        <v>1039</v>
      </c>
      <c r="D45" s="8" t="s">
        <v>49</v>
      </c>
      <c r="E45" s="9">
        <f>Table167910[[#This Row],[Qty Entrada]]-Table167910[[#This Row],[Qty Salida]]</f>
        <v>0</v>
      </c>
      <c r="F45" s="10" t="s">
        <v>20</v>
      </c>
      <c r="G45" s="10">
        <f>SUMIF([1]!Table3[Código Institucional],'[1]ENTRADA 6-05-2022'!C45:C237,[1]!Table3[Cantidad])</f>
        <v>12</v>
      </c>
      <c r="H45" s="10">
        <f>SUMIF([1]!Table2[Código Institucional],'[1]ENTRADA 6-05-2022'!C45:C237,[1]!Table2[Cantidad])</f>
        <v>12</v>
      </c>
      <c r="I45" s="11">
        <v>4.3499999999999996</v>
      </c>
      <c r="J45" s="12">
        <f t="shared" si="0"/>
        <v>0</v>
      </c>
      <c r="K45" s="13">
        <f t="shared" si="1"/>
        <v>0</v>
      </c>
    </row>
    <row r="46" spans="1:11" ht="17.25" x14ac:dyDescent="0.3">
      <c r="A46" s="6">
        <v>43594</v>
      </c>
      <c r="B46" s="6">
        <v>44687</v>
      </c>
      <c r="C46" s="7">
        <v>1040</v>
      </c>
      <c r="D46" s="8" t="s">
        <v>50</v>
      </c>
      <c r="E46" s="9">
        <f>2+4</f>
        <v>6</v>
      </c>
      <c r="F46" s="10" t="s">
        <v>20</v>
      </c>
      <c r="G46" s="10">
        <f>SUMIF([1]!Table3[Código Institucional],'[1]ENTRADA 6-05-2022'!C46:C238,[1]!Table3[Cantidad])</f>
        <v>9</v>
      </c>
      <c r="H46" s="10">
        <f>SUMIF([1]!Table2[Código Institucional],'[1]ENTRADA 6-05-2022'!C46:C238,[1]!Table2[Cantidad])</f>
        <v>7</v>
      </c>
      <c r="I46" s="11">
        <v>373.15</v>
      </c>
      <c r="J46" s="12">
        <f t="shared" si="0"/>
        <v>403.00199999999995</v>
      </c>
      <c r="K46" s="13">
        <f t="shared" si="1"/>
        <v>2641.9019999999996</v>
      </c>
    </row>
    <row r="47" spans="1:11" ht="17.25" x14ac:dyDescent="0.3">
      <c r="A47" s="6">
        <v>43594</v>
      </c>
      <c r="B47" s="6">
        <v>43717</v>
      </c>
      <c r="C47" s="7">
        <v>1041</v>
      </c>
      <c r="D47" s="8" t="s">
        <v>51</v>
      </c>
      <c r="E47" s="9">
        <f>Table167910[[#This Row],[Qty Entrada]]-Table167910[[#This Row],[Qty Salida]]</f>
        <v>1</v>
      </c>
      <c r="F47" s="10" t="s">
        <v>20</v>
      </c>
      <c r="G47" s="10">
        <f>SUMIF([1]!Table3[Código Institucional],'[1]ENTRADA 6-05-2022'!C47:C239,[1]!Table3[Cantidad])</f>
        <v>1</v>
      </c>
      <c r="H47" s="10">
        <f>SUMIF([1]!Table2[Código Institucional],'[1]ENTRADA 6-05-2022'!C47:C239,[1]!Table2[Cantidad])</f>
        <v>0</v>
      </c>
      <c r="I47" s="11">
        <v>305.08999999999997</v>
      </c>
      <c r="J47" s="12">
        <f t="shared" si="0"/>
        <v>54.916199999999996</v>
      </c>
      <c r="K47" s="13">
        <f t="shared" si="1"/>
        <v>360.00619999999998</v>
      </c>
    </row>
    <row r="48" spans="1:11" ht="17.25" x14ac:dyDescent="0.3">
      <c r="A48" s="6">
        <v>43594</v>
      </c>
      <c r="B48" s="6">
        <v>44315</v>
      </c>
      <c r="C48" s="7">
        <v>1042</v>
      </c>
      <c r="D48" s="8" t="s">
        <v>52</v>
      </c>
      <c r="E48" s="9">
        <f>Table167910[[#This Row],[Qty Entrada]]-Table167910[[#This Row],[Qty Salida]]</f>
        <v>7</v>
      </c>
      <c r="F48" s="10" t="s">
        <v>25</v>
      </c>
      <c r="G48" s="10">
        <f>SUMIF([1]!Table3[Código Institucional],'[1]ENTRADA 6-05-2022'!C48:C240,[1]!Table3[Cantidad])</f>
        <v>8</v>
      </c>
      <c r="H48" s="10">
        <f>SUMIF([1]!Table2[Código Institucional],'[1]ENTRADA 6-05-2022'!C48:C240,[1]!Table2[Cantidad])</f>
        <v>1</v>
      </c>
      <c r="I48" s="11">
        <v>46.61</v>
      </c>
      <c r="J48" s="12">
        <f t="shared" si="0"/>
        <v>58.728599999999993</v>
      </c>
      <c r="K48" s="13">
        <f t="shared" si="1"/>
        <v>384.99859999999995</v>
      </c>
    </row>
    <row r="49" spans="1:11" ht="17.25" x14ac:dyDescent="0.3">
      <c r="A49" s="6">
        <v>43594</v>
      </c>
      <c r="B49" s="6">
        <v>44687</v>
      </c>
      <c r="C49" s="7">
        <v>1043</v>
      </c>
      <c r="D49" s="8" t="s">
        <v>53</v>
      </c>
      <c r="E49" s="9">
        <f>13+11</f>
        <v>24</v>
      </c>
      <c r="F49" s="10" t="s">
        <v>25</v>
      </c>
      <c r="G49" s="10">
        <f>SUMIF([1]!Table3[Código Institucional],'[1]ENTRADA 6-05-2022'!C49:C241,[1]!Table3[Cantidad])</f>
        <v>18</v>
      </c>
      <c r="H49" s="10">
        <f>SUMIF([1]!Table2[Código Institucional],'[1]ENTRADA 6-05-2022'!C49:C241,[1]!Table2[Cantidad])</f>
        <v>6</v>
      </c>
      <c r="I49" s="11">
        <v>35.1</v>
      </c>
      <c r="J49" s="12">
        <f t="shared" si="0"/>
        <v>151.63200000000001</v>
      </c>
      <c r="K49" s="13">
        <f t="shared" si="1"/>
        <v>994.03200000000015</v>
      </c>
    </row>
    <row r="50" spans="1:11" ht="17.25" x14ac:dyDescent="0.3">
      <c r="A50" s="6">
        <v>43594</v>
      </c>
      <c r="B50" s="6">
        <v>44687</v>
      </c>
      <c r="C50" s="7">
        <v>1044</v>
      </c>
      <c r="D50" s="8" t="s">
        <v>54</v>
      </c>
      <c r="E50" s="9">
        <f>4+6-2</f>
        <v>8</v>
      </c>
      <c r="F50" s="10" t="s">
        <v>20</v>
      </c>
      <c r="G50" s="10">
        <f>SUMIF([1]!Table3[Código Institucional],'[1]ENTRADA 6-05-2022'!C50:C242,[1]!Table3[Cantidad])</f>
        <v>3</v>
      </c>
      <c r="H50" s="10">
        <f>SUMIF([1]!Table2[Código Institucional],'[1]ENTRADA 6-05-2022'!C50:C242,[1]!Table2[Cantidad])</f>
        <v>2</v>
      </c>
      <c r="I50" s="11">
        <v>16.8</v>
      </c>
      <c r="J50" s="12">
        <f t="shared" si="0"/>
        <v>24.192</v>
      </c>
      <c r="K50" s="13">
        <f t="shared" si="1"/>
        <v>158.59200000000001</v>
      </c>
    </row>
    <row r="51" spans="1:11" ht="13.5" customHeight="1" x14ac:dyDescent="0.3">
      <c r="A51" s="6">
        <v>43594</v>
      </c>
      <c r="B51" s="6">
        <v>44315</v>
      </c>
      <c r="C51" s="7">
        <v>1045</v>
      </c>
      <c r="D51" s="8" t="s">
        <v>55</v>
      </c>
      <c r="E51" s="9">
        <f>Table167910[[#This Row],[Qty Entrada]]-Table167910[[#This Row],[Qty Salida]]</f>
        <v>3</v>
      </c>
      <c r="F51" s="10" t="s">
        <v>20</v>
      </c>
      <c r="G51" s="10">
        <f>SUMIF([1]!Table3[Código Institucional],'[1]ENTRADA 6-05-2022'!C51:C243,[1]!Table3[Cantidad])</f>
        <v>5</v>
      </c>
      <c r="H51" s="10">
        <f>SUMIF([1]!Table2[Código Institucional],'[1]ENTRADA 6-05-2022'!C51:C243,[1]!Table2[Cantidad])</f>
        <v>2</v>
      </c>
      <c r="I51" s="11">
        <v>33.9</v>
      </c>
      <c r="J51" s="12">
        <f t="shared" si="0"/>
        <v>18.305999999999997</v>
      </c>
      <c r="K51" s="13">
        <f t="shared" si="1"/>
        <v>120.00599999999999</v>
      </c>
    </row>
    <row r="52" spans="1:11" ht="17.25" x14ac:dyDescent="0.3">
      <c r="A52" s="6">
        <v>43594</v>
      </c>
      <c r="B52" s="6">
        <v>43717</v>
      </c>
      <c r="C52" s="7">
        <v>1047</v>
      </c>
      <c r="D52" s="8" t="s">
        <v>56</v>
      </c>
      <c r="E52" s="9">
        <v>3</v>
      </c>
      <c r="F52" s="10" t="s">
        <v>20</v>
      </c>
      <c r="G52" s="10">
        <f>SUMIF([1]!Table3[Código Institucional],'[1]ENTRADA 6-05-2022'!C52:C245,[1]!Table3[Cantidad])</f>
        <v>1</v>
      </c>
      <c r="H52" s="10">
        <f>SUMIF([1]!Table2[Código Institucional],'[1]ENTRADA 6-05-2022'!C52:C245,[1]!Table2[Cantidad])</f>
        <v>0</v>
      </c>
      <c r="I52" s="11">
        <v>396.77</v>
      </c>
      <c r="J52" s="12">
        <f t="shared" si="0"/>
        <v>214.25579999999999</v>
      </c>
      <c r="K52" s="13">
        <f t="shared" si="1"/>
        <v>1404.5657999999999</v>
      </c>
    </row>
    <row r="53" spans="1:11" ht="17.25" x14ac:dyDescent="0.3">
      <c r="A53" s="6">
        <v>43594</v>
      </c>
      <c r="B53" s="6">
        <v>43717</v>
      </c>
      <c r="C53" s="7">
        <v>1048</v>
      </c>
      <c r="D53" s="8" t="s">
        <v>57</v>
      </c>
      <c r="E53" s="9">
        <v>4</v>
      </c>
      <c r="F53" s="10" t="s">
        <v>20</v>
      </c>
      <c r="G53" s="10">
        <f>SUMIF([1]!Table3[Código Institucional],'[1]ENTRADA 6-05-2022'!C53:C246,[1]!Table3[Cantidad])</f>
        <v>3</v>
      </c>
      <c r="H53" s="10">
        <f>SUMIF([1]!Table2[Código Institucional],'[1]ENTRADA 6-05-2022'!C53:C246,[1]!Table2[Cantidad])</f>
        <v>1</v>
      </c>
      <c r="I53" s="11">
        <v>295</v>
      </c>
      <c r="J53" s="12">
        <f t="shared" si="0"/>
        <v>212.4</v>
      </c>
      <c r="K53" s="13">
        <f t="shared" si="1"/>
        <v>1392.4</v>
      </c>
    </row>
    <row r="54" spans="1:11" ht="17.25" x14ac:dyDescent="0.3">
      <c r="A54" s="6">
        <v>43594</v>
      </c>
      <c r="B54" s="6">
        <v>44315</v>
      </c>
      <c r="C54" s="7">
        <v>1049</v>
      </c>
      <c r="D54" s="8" t="s">
        <v>58</v>
      </c>
      <c r="E54" s="9">
        <v>2</v>
      </c>
      <c r="F54" s="10" t="s">
        <v>20</v>
      </c>
      <c r="G54" s="10">
        <f>SUMIF([1]!Table3[Código Institucional],'[1]ENTRADA 6-05-2022'!C54:C247,[1]!Table3[Cantidad])</f>
        <v>2</v>
      </c>
      <c r="H54" s="10">
        <f>SUMIF([1]!Table2[Código Institucional],'[1]ENTRADA 6-05-2022'!C54:C247,[1]!Table2[Cantidad])</f>
        <v>1</v>
      </c>
      <c r="I54" s="11">
        <v>319</v>
      </c>
      <c r="J54" s="12">
        <f t="shared" si="0"/>
        <v>114.83999999999999</v>
      </c>
      <c r="K54" s="13">
        <f t="shared" si="1"/>
        <v>752.84</v>
      </c>
    </row>
    <row r="55" spans="1:11" ht="12.75" hidden="1" customHeight="1" x14ac:dyDescent="0.3">
      <c r="A55" s="6">
        <v>43594</v>
      </c>
      <c r="B55" s="6">
        <v>43717</v>
      </c>
      <c r="C55" s="7">
        <v>1050</v>
      </c>
      <c r="D55" s="8"/>
      <c r="E55" s="9">
        <f>Table167910[[#This Row],[Qty Entrada]]-Table167910[[#This Row],[Qty Salida]]</f>
        <v>0</v>
      </c>
      <c r="F55" s="10"/>
      <c r="G55" s="10">
        <f>SUMIF([1]!Table3[Código Institucional],'[1]ENTRADA 6-05-2022'!C55:C248,[1]!Table3[Cantidad])</f>
        <v>0</v>
      </c>
      <c r="H55" s="10">
        <f>SUMIF([1]!Table2[Código Institucional],'[1]ENTRADA 6-05-2022'!C55:C248,[1]!Table2[Cantidad])</f>
        <v>0</v>
      </c>
      <c r="I55" s="11"/>
      <c r="J55" s="12">
        <f t="shared" si="0"/>
        <v>0</v>
      </c>
      <c r="K55" s="13">
        <f t="shared" si="1"/>
        <v>0</v>
      </c>
    </row>
    <row r="56" spans="1:11" ht="17.25" x14ac:dyDescent="0.3">
      <c r="A56" s="6">
        <v>43594</v>
      </c>
      <c r="B56" s="6">
        <v>44687</v>
      </c>
      <c r="C56" s="7">
        <v>1051</v>
      </c>
      <c r="D56" s="8" t="s">
        <v>59</v>
      </c>
      <c r="E56" s="9">
        <f>3+12-7+1</f>
        <v>9</v>
      </c>
      <c r="F56" s="10" t="s">
        <v>20</v>
      </c>
      <c r="G56" s="10">
        <f>SUMIF([1]!Table3[Código Institucional],'[1]ENTRADA 6-05-2022'!C56:C249,[1]!Table3[Cantidad])</f>
        <v>53</v>
      </c>
      <c r="H56" s="10">
        <f>SUMIF([1]!Table2[Código Institucional],'[1]ENTRADA 6-05-2022'!C56:C249,[1]!Table2[Cantidad])</f>
        <v>40</v>
      </c>
      <c r="I56" s="11">
        <v>15</v>
      </c>
      <c r="J56" s="12">
        <f t="shared" si="0"/>
        <v>24.299999999999997</v>
      </c>
      <c r="K56" s="13">
        <f t="shared" si="1"/>
        <v>159.30000000000001</v>
      </c>
    </row>
    <row r="57" spans="1:11" ht="17.25" customHeight="1" x14ac:dyDescent="0.3">
      <c r="A57" s="6">
        <v>43594</v>
      </c>
      <c r="B57" s="6">
        <v>44315</v>
      </c>
      <c r="C57" s="7">
        <v>1052</v>
      </c>
      <c r="D57" s="8" t="s">
        <v>60</v>
      </c>
      <c r="E57" s="9">
        <v>37</v>
      </c>
      <c r="F57" s="10" t="s">
        <v>20</v>
      </c>
      <c r="G57" s="10">
        <f>SUMIF([1]!Table3[Código Institucional],'[1]ENTRADA 6-05-2022'!C57:C250,[1]!Table3[Cantidad])</f>
        <v>53</v>
      </c>
      <c r="H57" s="10">
        <f>SUMIF([1]!Table2[Código Institucional],'[1]ENTRADA 6-05-2022'!C57:C250,[1]!Table2[Cantidad])</f>
        <v>19</v>
      </c>
      <c r="I57" s="11">
        <v>30</v>
      </c>
      <c r="J57" s="12">
        <f t="shared" si="0"/>
        <v>199.79999999999998</v>
      </c>
      <c r="K57" s="13">
        <f t="shared" si="1"/>
        <v>1309.8</v>
      </c>
    </row>
    <row r="58" spans="1:11" ht="14.25" hidden="1" customHeight="1" x14ac:dyDescent="0.3">
      <c r="A58" s="6">
        <v>43594</v>
      </c>
      <c r="B58" s="6">
        <v>43717</v>
      </c>
      <c r="C58" s="7">
        <v>1053</v>
      </c>
      <c r="D58" s="8" t="s">
        <v>61</v>
      </c>
      <c r="E58" s="9">
        <f>Table167910[[#This Row],[Qty Entrada]]-Table167910[[#This Row],[Qty Salida]]</f>
        <v>0</v>
      </c>
      <c r="F58" s="10" t="s">
        <v>20</v>
      </c>
      <c r="G58" s="10">
        <f>SUMIF([1]!Table3[Código Institucional],'[1]ENTRADA 6-05-2022'!C58:C251,[1]!Table3[Cantidad])</f>
        <v>2</v>
      </c>
      <c r="H58" s="10">
        <f>SUMIF([1]!Table2[Código Institucional],'[1]ENTRADA 6-05-2022'!C58:C251,[1]!Table2[Cantidad])</f>
        <v>2</v>
      </c>
      <c r="I58" s="11">
        <v>46</v>
      </c>
      <c r="J58" s="12">
        <f t="shared" si="0"/>
        <v>0</v>
      </c>
      <c r="K58" s="13">
        <f t="shared" si="1"/>
        <v>0</v>
      </c>
    </row>
    <row r="59" spans="1:11" ht="15" hidden="1" customHeight="1" x14ac:dyDescent="0.3">
      <c r="A59" s="6">
        <v>43594</v>
      </c>
      <c r="B59" s="6">
        <v>43717</v>
      </c>
      <c r="C59" s="7">
        <v>1054</v>
      </c>
      <c r="D59" s="8" t="s">
        <v>62</v>
      </c>
      <c r="E59" s="9">
        <f>Table167910[[#This Row],[Qty Entrada]]-Table167910[[#This Row],[Qty Salida]]</f>
        <v>0</v>
      </c>
      <c r="F59" s="10" t="s">
        <v>20</v>
      </c>
      <c r="G59" s="10">
        <f>SUMIF([1]!Table3[Código Institucional],'[1]ENTRADA 6-05-2022'!C59:C252,[1]!Table3[Cantidad])</f>
        <v>0</v>
      </c>
      <c r="H59" s="10">
        <f>SUMIF([1]!Table2[Código Institucional],'[1]ENTRADA 6-05-2022'!C59:C252,[1]!Table2[Cantidad])</f>
        <v>0</v>
      </c>
      <c r="I59" s="11">
        <v>30</v>
      </c>
      <c r="J59" s="12">
        <f t="shared" si="0"/>
        <v>0</v>
      </c>
      <c r="K59" s="13">
        <f t="shared" si="1"/>
        <v>0</v>
      </c>
    </row>
    <row r="60" spans="1:11" ht="16.5" hidden="1" customHeight="1" x14ac:dyDescent="0.3">
      <c r="A60" s="6">
        <v>43594</v>
      </c>
      <c r="B60" s="6">
        <v>44315</v>
      </c>
      <c r="C60" s="7">
        <v>1055</v>
      </c>
      <c r="D60" s="8" t="s">
        <v>63</v>
      </c>
      <c r="E60" s="9">
        <f>Table167910[[#This Row],[Qty Entrada]]-Table167910[[#This Row],[Qty Salida]]</f>
        <v>0</v>
      </c>
      <c r="F60" s="10" t="s">
        <v>20</v>
      </c>
      <c r="G60" s="10">
        <f>SUMIF([1]!Table3[Código Institucional],'[1]ENTRADA 6-05-2022'!C60:C253,[1]!Table3[Cantidad])</f>
        <v>7</v>
      </c>
      <c r="H60" s="10">
        <f>SUMIF([1]!Table2[Código Institucional],'[1]ENTRADA 6-05-2022'!C60:C253,[1]!Table2[Cantidad])</f>
        <v>7</v>
      </c>
      <c r="I60" s="11">
        <v>275</v>
      </c>
      <c r="J60" s="12">
        <f t="shared" si="0"/>
        <v>0</v>
      </c>
      <c r="K60" s="13">
        <f t="shared" si="1"/>
        <v>0</v>
      </c>
    </row>
    <row r="61" spans="1:11" ht="12" hidden="1" customHeight="1" x14ac:dyDescent="0.3">
      <c r="A61" s="6">
        <v>43594</v>
      </c>
      <c r="B61" s="6">
        <v>43717</v>
      </c>
      <c r="C61" s="7">
        <v>1056</v>
      </c>
      <c r="D61" s="8"/>
      <c r="E61" s="9">
        <f>Table167910[[#This Row],[Qty Entrada]]-Table167910[[#This Row],[Qty Salida]]</f>
        <v>0</v>
      </c>
      <c r="F61" s="10"/>
      <c r="G61" s="10">
        <f>SUMIF([1]!Table3[Código Institucional],'[1]ENTRADA 6-05-2022'!C61:C254,[1]!Table3[Cantidad])</f>
        <v>0</v>
      </c>
      <c r="H61" s="10">
        <f>SUMIF([1]!Table2[Código Institucional],'[1]ENTRADA 6-05-2022'!C61:C254,[1]!Table2[Cantidad])</f>
        <v>0</v>
      </c>
      <c r="I61" s="11"/>
      <c r="J61" s="12">
        <f t="shared" si="0"/>
        <v>0</v>
      </c>
      <c r="K61" s="13">
        <f t="shared" si="1"/>
        <v>0</v>
      </c>
    </row>
    <row r="62" spans="1:11" ht="17.25" x14ac:dyDescent="0.3">
      <c r="A62" s="6">
        <v>43594</v>
      </c>
      <c r="B62" s="6">
        <v>44687</v>
      </c>
      <c r="C62" s="7">
        <v>1057</v>
      </c>
      <c r="D62" s="8" t="s">
        <v>64</v>
      </c>
      <c r="E62" s="9">
        <v>6</v>
      </c>
      <c r="F62" s="10" t="s">
        <v>25</v>
      </c>
      <c r="G62" s="10">
        <f>SUMIF([1]!Table3[Código Institucional],'[1]ENTRADA 6-05-2022'!C62:C255,[1]!Table3[Cantidad])</f>
        <v>7</v>
      </c>
      <c r="H62" s="10">
        <f>SUMIF([1]!Table2[Código Institucional],'[1]ENTRADA 6-05-2022'!C62:C255,[1]!Table2[Cantidad])</f>
        <v>5</v>
      </c>
      <c r="I62" s="11">
        <v>38.14</v>
      </c>
      <c r="J62" s="12">
        <f t="shared" si="0"/>
        <v>41.191199999999995</v>
      </c>
      <c r="K62" s="13">
        <f t="shared" si="1"/>
        <v>270.03120000000001</v>
      </c>
    </row>
    <row r="63" spans="1:11" ht="17.25" x14ac:dyDescent="0.3">
      <c r="A63" s="6">
        <v>43594</v>
      </c>
      <c r="B63" s="6">
        <v>44687</v>
      </c>
      <c r="C63" s="7">
        <v>1058</v>
      </c>
      <c r="D63" s="8" t="s">
        <v>65</v>
      </c>
      <c r="E63" s="9">
        <f>3+3</f>
        <v>6</v>
      </c>
      <c r="F63" s="10" t="s">
        <v>20</v>
      </c>
      <c r="G63" s="10">
        <f>SUMIF([1]!Table3[Código Institucional],'[1]ENTRADA 6-05-2022'!C63:C256,[1]!Table3[Cantidad])</f>
        <v>5</v>
      </c>
      <c r="H63" s="10">
        <f>SUMIF([1]!Table2[Código Institucional],'[1]ENTRADA 6-05-2022'!C63:C256,[1]!Table2[Cantidad])</f>
        <v>2</v>
      </c>
      <c r="I63" s="11">
        <v>169.71</v>
      </c>
      <c r="J63" s="12">
        <f t="shared" si="0"/>
        <v>183.2868</v>
      </c>
      <c r="K63" s="13">
        <f t="shared" si="1"/>
        <v>1201.5468000000001</v>
      </c>
    </row>
    <row r="64" spans="1:11" ht="17.25" x14ac:dyDescent="0.3">
      <c r="A64" s="6">
        <v>43594</v>
      </c>
      <c r="B64" s="6">
        <v>44687</v>
      </c>
      <c r="C64" s="7">
        <v>1059</v>
      </c>
      <c r="D64" s="8" t="s">
        <v>66</v>
      </c>
      <c r="E64" s="9">
        <f>5+5</f>
        <v>10</v>
      </c>
      <c r="F64" s="10" t="s">
        <v>20</v>
      </c>
      <c r="G64" s="10">
        <f>SUMIF([1]!Table3[Código Institucional],'[1]ENTRADA 6-05-2022'!C64:C257,[1]!Table3[Cantidad])</f>
        <v>38</v>
      </c>
      <c r="H64" s="10">
        <f>SUMIF([1]!Table2[Código Institucional],'[1]ENTRADA 6-05-2022'!C64:C257,[1]!Table2[Cantidad])</f>
        <v>14</v>
      </c>
      <c r="I64" s="11">
        <v>97.46</v>
      </c>
      <c r="J64" s="12">
        <f t="shared" si="0"/>
        <v>175.428</v>
      </c>
      <c r="K64" s="13">
        <f t="shared" si="1"/>
        <v>1150.0279999999998</v>
      </c>
    </row>
    <row r="65" spans="1:11" ht="19.5" customHeight="1" x14ac:dyDescent="0.3">
      <c r="A65" s="6">
        <v>43594</v>
      </c>
      <c r="B65" s="6">
        <v>44315</v>
      </c>
      <c r="C65" s="7">
        <v>1060</v>
      </c>
      <c r="D65" s="8" t="s">
        <v>67</v>
      </c>
      <c r="E65" s="9">
        <v>5</v>
      </c>
      <c r="F65" s="10" t="s">
        <v>20</v>
      </c>
      <c r="G65" s="10">
        <f>SUMIF([1]!Table3[Código Institucional],'[1]ENTRADA 6-05-2022'!C65:C258,[1]!Table3[Cantidad])</f>
        <v>7</v>
      </c>
      <c r="H65" s="10">
        <f>SUMIF([1]!Table2[Código Institucional],'[1]ENTRADA 6-05-2022'!C65:C258,[1]!Table2[Cantidad])</f>
        <v>5</v>
      </c>
      <c r="I65" s="11">
        <v>22.99</v>
      </c>
      <c r="J65" s="12">
        <f t="shared" si="0"/>
        <v>20.690999999999995</v>
      </c>
      <c r="K65" s="13">
        <f t="shared" si="1"/>
        <v>135.64099999999999</v>
      </c>
    </row>
    <row r="66" spans="1:11" ht="17.25" x14ac:dyDescent="0.3">
      <c r="A66" s="6">
        <v>43594</v>
      </c>
      <c r="B66" s="6">
        <v>44687</v>
      </c>
      <c r="C66" s="7">
        <v>1062</v>
      </c>
      <c r="D66" s="8" t="s">
        <v>68</v>
      </c>
      <c r="E66" s="9">
        <f>4+6-1</f>
        <v>9</v>
      </c>
      <c r="F66" s="10" t="s">
        <v>20</v>
      </c>
      <c r="G66" s="10">
        <f>SUMIF([1]!Table3[Código Institucional],'[1]ENTRADA 6-05-2022'!C66:C260,[1]!Table3[Cantidad])</f>
        <v>11</v>
      </c>
      <c r="H66" s="10">
        <f>SUMIF([1]!Table2[Código Institucional],'[1]ENTRADA 6-05-2022'!C66:C260,[1]!Table2[Cantidad])</f>
        <v>8</v>
      </c>
      <c r="I66" s="11">
        <v>207.63</v>
      </c>
      <c r="J66" s="12">
        <f t="shared" si="0"/>
        <v>336.36059999999998</v>
      </c>
      <c r="K66" s="13">
        <f t="shared" si="1"/>
        <v>2205.0306</v>
      </c>
    </row>
    <row r="67" spans="1:11" ht="17.25" x14ac:dyDescent="0.3">
      <c r="A67" s="6">
        <v>43594</v>
      </c>
      <c r="B67" s="6">
        <v>44315</v>
      </c>
      <c r="C67" s="7">
        <v>1063</v>
      </c>
      <c r="D67" s="8" t="s">
        <v>69</v>
      </c>
      <c r="E67" s="9">
        <f>20-1</f>
        <v>19</v>
      </c>
      <c r="F67" s="10" t="s">
        <v>20</v>
      </c>
      <c r="G67" s="10">
        <f>SUMIF([1]!Table3[Código Institucional],'[1]ENTRADA 6-05-2022'!C67:C261,[1]!Table3[Cantidad])</f>
        <v>4</v>
      </c>
      <c r="H67" s="10">
        <f>SUMIF([1]!Table2[Código Institucional],'[1]ENTRADA 6-05-2022'!C67:C261,[1]!Table2[Cantidad])</f>
        <v>2</v>
      </c>
      <c r="I67" s="11">
        <v>55</v>
      </c>
      <c r="J67" s="12">
        <f t="shared" si="0"/>
        <v>188.1</v>
      </c>
      <c r="K67" s="13">
        <f t="shared" si="1"/>
        <v>1233.0999999999999</v>
      </c>
    </row>
    <row r="68" spans="1:11" ht="10.5" hidden="1" customHeight="1" x14ac:dyDescent="0.3">
      <c r="A68" s="6">
        <v>43594</v>
      </c>
      <c r="B68" s="6">
        <v>43717</v>
      </c>
      <c r="C68" s="7">
        <v>1064</v>
      </c>
      <c r="D68" s="8"/>
      <c r="E68" s="9">
        <f>Table167910[[#This Row],[Qty Entrada]]-Table167910[[#This Row],[Qty Salida]]</f>
        <v>0</v>
      </c>
      <c r="F68" s="10"/>
      <c r="G68" s="10">
        <f>SUMIF([1]!Table3[Código Institucional],'[1]ENTRADA 6-05-2022'!C68:C262,[1]!Table3[Cantidad])</f>
        <v>0</v>
      </c>
      <c r="H68" s="10">
        <f>SUMIF([1]!Table2[Código Institucional],'[1]ENTRADA 6-05-2022'!C68:C262,[1]!Table2[Cantidad])</f>
        <v>0</v>
      </c>
      <c r="I68" s="11"/>
      <c r="J68" s="12">
        <f t="shared" si="0"/>
        <v>0</v>
      </c>
      <c r="K68" s="13">
        <f t="shared" si="1"/>
        <v>0</v>
      </c>
    </row>
    <row r="69" spans="1:11" ht="17.25" x14ac:dyDescent="0.3">
      <c r="A69" s="6">
        <v>43594</v>
      </c>
      <c r="B69" s="6">
        <v>44315</v>
      </c>
      <c r="C69" s="7">
        <v>1065</v>
      </c>
      <c r="D69" s="8" t="s">
        <v>70</v>
      </c>
      <c r="E69" s="9">
        <f>Table167910[[#This Row],[Qty Entrada]]-Table167910[[#This Row],[Qty Salida]]</f>
        <v>14</v>
      </c>
      <c r="F69" s="10" t="s">
        <v>25</v>
      </c>
      <c r="G69" s="10">
        <f>SUMIF([1]!Table3[Código Institucional],'[1]ENTRADA 6-05-2022'!C69:C263,[1]!Table3[Cantidad])</f>
        <v>19</v>
      </c>
      <c r="H69" s="10">
        <f>SUMIF([1]!Table2[Código Institucional],'[1]ENTRADA 6-05-2022'!C69:C263,[1]!Table2[Cantidad])</f>
        <v>5</v>
      </c>
      <c r="I69" s="11">
        <v>122.88</v>
      </c>
      <c r="J69" s="12">
        <f t="shared" si="0"/>
        <v>309.65759999999995</v>
      </c>
      <c r="K69" s="13">
        <f t="shared" si="1"/>
        <v>2029.9775999999999</v>
      </c>
    </row>
    <row r="70" spans="1:11" ht="17.25" x14ac:dyDescent="0.3">
      <c r="A70" s="6">
        <v>43594</v>
      </c>
      <c r="B70" s="6">
        <v>44315</v>
      </c>
      <c r="C70" s="7">
        <v>1066</v>
      </c>
      <c r="D70" s="8" t="s">
        <v>71</v>
      </c>
      <c r="E70" s="9">
        <f>Table167910[[#This Row],[Qty Entrada]]-Table167910[[#This Row],[Qty Salida]]</f>
        <v>7</v>
      </c>
      <c r="F70" s="10" t="s">
        <v>25</v>
      </c>
      <c r="G70" s="10">
        <f>SUMIF([1]!Table3[Código Institucional],'[1]ENTRADA 6-05-2022'!C70:C264,[1]!Table3[Cantidad])</f>
        <v>17</v>
      </c>
      <c r="H70" s="10">
        <f>SUMIF([1]!Table2[Código Institucional],'[1]ENTRADA 6-05-2022'!C70:C264,[1]!Table2[Cantidad])</f>
        <v>10</v>
      </c>
      <c r="I70" s="11">
        <v>29.5</v>
      </c>
      <c r="J70" s="12">
        <f t="shared" si="0"/>
        <v>37.169999999999995</v>
      </c>
      <c r="K70" s="13">
        <f t="shared" si="1"/>
        <v>243.67</v>
      </c>
    </row>
    <row r="71" spans="1:11" ht="17.25" x14ac:dyDescent="0.3">
      <c r="A71" s="6">
        <v>43594</v>
      </c>
      <c r="B71" s="6">
        <v>44687</v>
      </c>
      <c r="C71" s="7">
        <v>1068</v>
      </c>
      <c r="D71" s="8" t="s">
        <v>72</v>
      </c>
      <c r="E71" s="9">
        <f>18+6</f>
        <v>24</v>
      </c>
      <c r="F71" s="10" t="s">
        <v>25</v>
      </c>
      <c r="G71" s="10">
        <f>SUMIF([1]!Table3[Código Institucional],'[1]ENTRADA 6-05-2022'!C71:C266,[1]!Table3[Cantidad])</f>
        <v>27</v>
      </c>
      <c r="H71" s="10">
        <f>SUMIF([1]!Table2[Código Institucional],'[1]ENTRADA 6-05-2022'!C71:C266,[1]!Table2[Cantidad])</f>
        <v>13</v>
      </c>
      <c r="I71" s="11">
        <v>15.25</v>
      </c>
      <c r="J71" s="12">
        <f t="shared" ref="J71:J135" si="2">I71*18%*E71</f>
        <v>65.88</v>
      </c>
      <c r="K71" s="13">
        <f t="shared" si="1"/>
        <v>431.88</v>
      </c>
    </row>
    <row r="72" spans="1:11" ht="17.25" x14ac:dyDescent="0.3">
      <c r="A72" s="6">
        <v>43594</v>
      </c>
      <c r="B72" s="6">
        <v>44687</v>
      </c>
      <c r="C72" s="7">
        <v>1070</v>
      </c>
      <c r="D72" s="8" t="s">
        <v>73</v>
      </c>
      <c r="E72" s="9">
        <f>13+24</f>
        <v>37</v>
      </c>
      <c r="F72" s="10" t="s">
        <v>20</v>
      </c>
      <c r="G72" s="10">
        <f>SUMIF([1]!Table3[Código Institucional],'[1]ENTRADA 6-05-2022'!C72:C268,[1]!Table3[Cantidad])</f>
        <v>15</v>
      </c>
      <c r="H72" s="10">
        <f>SUMIF([1]!Table2[Código Institucional],'[1]ENTRADA 6-05-2022'!C72:C268,[1]!Table2[Cantidad])</f>
        <v>2</v>
      </c>
      <c r="I72" s="11">
        <v>412</v>
      </c>
      <c r="J72" s="12">
        <f t="shared" si="2"/>
        <v>2743.92</v>
      </c>
      <c r="K72" s="13">
        <f t="shared" ref="K72:K135" si="3">E72*I72+J72</f>
        <v>17987.919999999998</v>
      </c>
    </row>
    <row r="73" spans="1:11" ht="17.25" x14ac:dyDescent="0.3">
      <c r="A73" s="6">
        <v>43594</v>
      </c>
      <c r="B73" s="6">
        <v>44687</v>
      </c>
      <c r="C73" s="7">
        <v>1071</v>
      </c>
      <c r="D73" s="8" t="s">
        <v>74</v>
      </c>
      <c r="E73" s="9">
        <f>24+6-1-1</f>
        <v>28</v>
      </c>
      <c r="F73" s="10" t="s">
        <v>20</v>
      </c>
      <c r="G73" s="10">
        <f>SUMIF([1]!Table3[Código Institucional],'[1]ENTRADA 6-05-2022'!C73:C269,[1]!Table3[Cantidad])</f>
        <v>15</v>
      </c>
      <c r="H73" s="10">
        <f>SUMIF([1]!Table2[Código Institucional],'[1]ENTRADA 6-05-2022'!C73:C269,[1]!Table2[Cantidad])</f>
        <v>1</v>
      </c>
      <c r="I73" s="11">
        <v>495</v>
      </c>
      <c r="J73" s="12">
        <f t="shared" si="2"/>
        <v>2494.7999999999997</v>
      </c>
      <c r="K73" s="13">
        <f t="shared" si="3"/>
        <v>16354.8</v>
      </c>
    </row>
    <row r="74" spans="1:11" ht="17.25" hidden="1" x14ac:dyDescent="0.3">
      <c r="A74" s="6">
        <v>43594</v>
      </c>
      <c r="B74" s="6">
        <v>43717</v>
      </c>
      <c r="C74" s="7">
        <v>1072</v>
      </c>
      <c r="D74" s="8"/>
      <c r="E74" s="9">
        <f>Table167910[[#This Row],[Qty Entrada]]-Table167910[[#This Row],[Qty Salida]]</f>
        <v>0</v>
      </c>
      <c r="F74" s="10"/>
      <c r="G74" s="10">
        <f>SUMIF([1]!Table3[Código Institucional],'[1]ENTRADA 6-05-2022'!C74:C270,[1]!Table3[Cantidad])</f>
        <v>0</v>
      </c>
      <c r="H74" s="10">
        <f>SUMIF([1]!Table2[Código Institucional],'[1]ENTRADA 6-05-2022'!C74:C270,[1]!Table2[Cantidad])</f>
        <v>0</v>
      </c>
      <c r="I74" s="11"/>
      <c r="J74" s="12">
        <f t="shared" si="2"/>
        <v>0</v>
      </c>
      <c r="K74" s="13">
        <f t="shared" si="3"/>
        <v>0</v>
      </c>
    </row>
    <row r="75" spans="1:11" ht="17.25" x14ac:dyDescent="0.3">
      <c r="A75" s="6">
        <v>43594</v>
      </c>
      <c r="B75" s="6">
        <v>44687</v>
      </c>
      <c r="C75" s="7">
        <v>1073</v>
      </c>
      <c r="D75" s="8" t="s">
        <v>75</v>
      </c>
      <c r="E75" s="9">
        <f>4+12</f>
        <v>16</v>
      </c>
      <c r="F75" s="10" t="s">
        <v>20</v>
      </c>
      <c r="G75" s="10">
        <f>SUMIF([1]!Table3[Código Institucional],'[1]ENTRADA 6-05-2022'!C75:C271,[1]!Table3[Cantidad])</f>
        <v>12</v>
      </c>
      <c r="H75" s="10">
        <f>SUMIF([1]!Table2[Código Institucional],'[1]ENTRADA 6-05-2022'!C75:C271,[1]!Table2[Cantidad])</f>
        <v>6</v>
      </c>
      <c r="I75" s="11">
        <v>38.6</v>
      </c>
      <c r="J75" s="12">
        <f t="shared" si="2"/>
        <v>111.16800000000001</v>
      </c>
      <c r="K75" s="13">
        <f t="shared" si="3"/>
        <v>728.76800000000003</v>
      </c>
    </row>
    <row r="76" spans="1:11" ht="17.25" x14ac:dyDescent="0.3">
      <c r="A76" s="6">
        <v>43594</v>
      </c>
      <c r="B76" s="6" t="s">
        <v>76</v>
      </c>
      <c r="C76" s="7">
        <v>1074</v>
      </c>
      <c r="D76" s="8" t="s">
        <v>77</v>
      </c>
      <c r="E76" s="9">
        <v>46</v>
      </c>
      <c r="F76" s="10" t="s">
        <v>20</v>
      </c>
      <c r="G76" s="10">
        <f>SUMIF([1]!Table3[Código Institucional],'[1]ENTRADA 6-05-2022'!C76:C272,[1]!Table3[Cantidad])</f>
        <v>39</v>
      </c>
      <c r="H76" s="10">
        <f>SUMIF([1]!Table2[Código Institucional],'[1]ENTRADA 6-05-2022'!C76:C272,[1]!Table2[Cantidad])</f>
        <v>7</v>
      </c>
      <c r="I76" s="11">
        <v>33.9</v>
      </c>
      <c r="J76" s="12">
        <f t="shared" si="2"/>
        <v>280.69199999999995</v>
      </c>
      <c r="K76" s="13">
        <f t="shared" si="3"/>
        <v>1840.0919999999999</v>
      </c>
    </row>
    <row r="77" spans="1:11" ht="17.25" x14ac:dyDescent="0.3">
      <c r="A77" s="6">
        <v>43594</v>
      </c>
      <c r="B77" s="6">
        <v>44315</v>
      </c>
      <c r="C77" s="7">
        <v>1075</v>
      </c>
      <c r="D77" s="8" t="s">
        <v>78</v>
      </c>
      <c r="E77" s="9">
        <f>44-1</f>
        <v>43</v>
      </c>
      <c r="F77" s="10" t="s">
        <v>20</v>
      </c>
      <c r="G77" s="10">
        <f>SUMIF([1]!Table3[Código Institucional],'[1]ENTRADA 6-05-2022'!C77:C273,[1]!Table3[Cantidad])</f>
        <v>54</v>
      </c>
      <c r="H77" s="10">
        <f>SUMIF([1]!Table2[Código Institucional],'[1]ENTRADA 6-05-2022'!C77:C273,[1]!Table2[Cantidad])</f>
        <v>8</v>
      </c>
      <c r="I77" s="11">
        <v>35.590000000000003</v>
      </c>
      <c r="J77" s="12">
        <f t="shared" si="2"/>
        <v>275.46660000000003</v>
      </c>
      <c r="K77" s="13">
        <f t="shared" si="3"/>
        <v>1805.8366000000001</v>
      </c>
    </row>
    <row r="78" spans="1:11" ht="17.25" x14ac:dyDescent="0.3">
      <c r="A78" s="6">
        <v>43594</v>
      </c>
      <c r="B78" s="6">
        <v>44687</v>
      </c>
      <c r="C78" s="7">
        <v>1076</v>
      </c>
      <c r="D78" s="8" t="s">
        <v>79</v>
      </c>
      <c r="E78" s="9">
        <f>3+6</f>
        <v>9</v>
      </c>
      <c r="F78" s="10" t="s">
        <v>20</v>
      </c>
      <c r="G78" s="10">
        <f>SUMIF([1]!Table3[Código Institucional],'[1]ENTRADA 6-05-2022'!C78:C274,[1]!Table3[Cantidad])</f>
        <v>3</v>
      </c>
      <c r="H78" s="10">
        <f>SUMIF([1]!Table2[Código Institucional],'[1]ENTRADA 6-05-2022'!C78:C274,[1]!Table2[Cantidad])</f>
        <v>0</v>
      </c>
      <c r="I78" s="11">
        <v>30</v>
      </c>
      <c r="J78" s="12">
        <f t="shared" si="2"/>
        <v>48.599999999999994</v>
      </c>
      <c r="K78" s="13">
        <f t="shared" si="3"/>
        <v>318.60000000000002</v>
      </c>
    </row>
    <row r="79" spans="1:11" ht="17.25" x14ac:dyDescent="0.3">
      <c r="A79" s="6">
        <v>43594</v>
      </c>
      <c r="B79" s="6">
        <v>44315</v>
      </c>
      <c r="C79" s="7">
        <v>1077</v>
      </c>
      <c r="D79" s="8" t="s">
        <v>80</v>
      </c>
      <c r="E79" s="9">
        <v>36</v>
      </c>
      <c r="F79" s="10" t="s">
        <v>20</v>
      </c>
      <c r="G79" s="10">
        <f>SUMIF([1]!Table3[Código Institucional],'[1]ENTRADA 6-05-2022'!C79:C275,[1]!Table3[Cantidad])</f>
        <v>50</v>
      </c>
      <c r="H79" s="10">
        <f>SUMIF([1]!Table2[Código Institucional],'[1]ENTRADA 6-05-2022'!C79:C275,[1]!Table2[Cantidad])</f>
        <v>2</v>
      </c>
      <c r="I79" s="11">
        <v>23.25</v>
      </c>
      <c r="J79" s="12">
        <f t="shared" si="2"/>
        <v>150.66</v>
      </c>
      <c r="K79" s="13">
        <f t="shared" si="3"/>
        <v>987.66</v>
      </c>
    </row>
    <row r="80" spans="1:11" ht="17.25" x14ac:dyDescent="0.3">
      <c r="A80" s="6">
        <v>43594</v>
      </c>
      <c r="B80" s="6">
        <v>44687</v>
      </c>
      <c r="C80" s="7">
        <v>1078</v>
      </c>
      <c r="D80" s="8" t="s">
        <v>81</v>
      </c>
      <c r="E80" s="9">
        <f>14+12</f>
        <v>26</v>
      </c>
      <c r="F80" s="10" t="s">
        <v>20</v>
      </c>
      <c r="G80" s="10">
        <f>SUMIF([1]!Table3[Código Institucional],'[1]ENTRADA 6-05-2022'!C80:C276,[1]!Table3[Cantidad])</f>
        <v>30</v>
      </c>
      <c r="H80" s="10">
        <f>SUMIF([1]!Table2[Código Institucional],'[1]ENTRADA 6-05-2022'!C80:C276,[1]!Table2[Cantidad])</f>
        <v>12</v>
      </c>
      <c r="I80" s="11">
        <v>44.85</v>
      </c>
      <c r="J80" s="12">
        <f t="shared" si="2"/>
        <v>209.89800000000002</v>
      </c>
      <c r="K80" s="13">
        <f t="shared" si="3"/>
        <v>1375.998</v>
      </c>
    </row>
    <row r="81" spans="1:11" ht="17.25" hidden="1" x14ac:dyDescent="0.3">
      <c r="A81" s="6">
        <v>43594</v>
      </c>
      <c r="B81" s="6">
        <v>43717</v>
      </c>
      <c r="C81" s="7">
        <v>1079</v>
      </c>
      <c r="D81" s="8"/>
      <c r="E81" s="9">
        <f>Table167910[[#This Row],[Qty Entrada]]-Table167910[[#This Row],[Qty Salida]]</f>
        <v>0</v>
      </c>
      <c r="F81" s="10"/>
      <c r="G81" s="10">
        <f>SUMIF([1]!Table3[Código Institucional],'[1]ENTRADA 6-05-2022'!C81:C277,[1]!Table3[Cantidad])</f>
        <v>0</v>
      </c>
      <c r="H81" s="10">
        <f>SUMIF([1]!Table2[Código Institucional],'[1]ENTRADA 6-05-2022'!C81:C277,[1]!Table2[Cantidad])</f>
        <v>0</v>
      </c>
      <c r="I81" s="11"/>
      <c r="J81" s="12">
        <f t="shared" si="2"/>
        <v>0</v>
      </c>
      <c r="K81" s="13">
        <f t="shared" si="3"/>
        <v>0</v>
      </c>
    </row>
    <row r="82" spans="1:11" ht="17.25" x14ac:dyDescent="0.3">
      <c r="A82" s="6">
        <v>43594</v>
      </c>
      <c r="B82" s="6">
        <v>44687</v>
      </c>
      <c r="C82" s="7">
        <v>1080</v>
      </c>
      <c r="D82" s="8" t="s">
        <v>82</v>
      </c>
      <c r="E82" s="9">
        <f>4+6</f>
        <v>10</v>
      </c>
      <c r="F82" s="10" t="s">
        <v>20</v>
      </c>
      <c r="G82" s="10">
        <f>SUMIF([1]!Table3[Código Institucional],'[1]ENTRADA 6-05-2022'!C82:C278,[1]!Table3[Cantidad])</f>
        <v>7</v>
      </c>
      <c r="H82" s="10">
        <f>SUMIF([1]!Table2[Código Institucional],'[1]ENTRADA 6-05-2022'!C82:C278,[1]!Table2[Cantidad])</f>
        <v>2</v>
      </c>
      <c r="I82" s="11">
        <v>38.35</v>
      </c>
      <c r="J82" s="12">
        <f t="shared" si="2"/>
        <v>69.03</v>
      </c>
      <c r="K82" s="13">
        <f t="shared" si="3"/>
        <v>452.53</v>
      </c>
    </row>
    <row r="83" spans="1:11" ht="17.25" x14ac:dyDescent="0.3">
      <c r="A83" s="6">
        <v>43594</v>
      </c>
      <c r="B83" s="6">
        <v>44687</v>
      </c>
      <c r="C83" s="7">
        <v>1081</v>
      </c>
      <c r="D83" s="8" t="s">
        <v>83</v>
      </c>
      <c r="E83" s="9">
        <f>1+12</f>
        <v>13</v>
      </c>
      <c r="F83" s="10" t="s">
        <v>20</v>
      </c>
      <c r="G83" s="10">
        <f>SUMIF([1]!Table3[Código Institucional],'[1]ENTRADA 6-05-2022'!C83:C279,[1]!Table3[Cantidad])</f>
        <v>2</v>
      </c>
      <c r="H83" s="10">
        <f>SUMIF([1]!Table2[Código Institucional],'[1]ENTRADA 6-05-2022'!C83:C279,[1]!Table2[Cantidad])</f>
        <v>1</v>
      </c>
      <c r="I83" s="11">
        <v>38.35</v>
      </c>
      <c r="J83" s="12">
        <f t="shared" si="2"/>
        <v>89.73899999999999</v>
      </c>
      <c r="K83" s="13">
        <f t="shared" si="3"/>
        <v>588.28899999999999</v>
      </c>
    </row>
    <row r="84" spans="1:11" ht="17.25" x14ac:dyDescent="0.3">
      <c r="A84" s="6">
        <v>43594</v>
      </c>
      <c r="B84" s="6">
        <v>44687</v>
      </c>
      <c r="C84" s="7">
        <v>1082</v>
      </c>
      <c r="D84" s="8" t="s">
        <v>84</v>
      </c>
      <c r="E84" s="9">
        <f>16+6</f>
        <v>22</v>
      </c>
      <c r="F84" s="10" t="s">
        <v>20</v>
      </c>
      <c r="G84" s="10">
        <f>SUMIF([1]!Table3[Código Institucional],'[1]ENTRADA 6-05-2022'!C84:C280,[1]!Table3[Cantidad])</f>
        <v>18</v>
      </c>
      <c r="H84" s="10">
        <f>SUMIF([1]!Table2[Código Institucional],'[1]ENTRADA 6-05-2022'!C84:C280,[1]!Table2[Cantidad])</f>
        <v>4</v>
      </c>
      <c r="I84" s="11">
        <v>42.38</v>
      </c>
      <c r="J84" s="12">
        <f t="shared" si="2"/>
        <v>167.82480000000001</v>
      </c>
      <c r="K84" s="13">
        <f t="shared" si="3"/>
        <v>1100.1848</v>
      </c>
    </row>
    <row r="85" spans="1:11" ht="17.25" x14ac:dyDescent="0.3">
      <c r="A85" s="6">
        <v>43594</v>
      </c>
      <c r="B85" s="6">
        <v>44687</v>
      </c>
      <c r="C85" s="7">
        <v>1083</v>
      </c>
      <c r="D85" s="8" t="s">
        <v>85</v>
      </c>
      <c r="E85" s="9">
        <f>18+6</f>
        <v>24</v>
      </c>
      <c r="F85" s="10" t="s">
        <v>20</v>
      </c>
      <c r="G85" s="10">
        <f>SUMIF([1]!Table3[Código Institucional],'[1]ENTRADA 6-05-2022'!C85:C281,[1]!Table3[Cantidad])</f>
        <v>21</v>
      </c>
      <c r="H85" s="10">
        <f>SUMIF([1]!Table2[Código Institucional],'[1]ENTRADA 6-05-2022'!C85:C281,[1]!Table2[Cantidad])</f>
        <v>11</v>
      </c>
      <c r="I85" s="11">
        <v>42.38</v>
      </c>
      <c r="J85" s="12">
        <f t="shared" si="2"/>
        <v>183.08160000000001</v>
      </c>
      <c r="K85" s="13">
        <f t="shared" si="3"/>
        <v>1200.2016000000001</v>
      </c>
    </row>
    <row r="86" spans="1:11" ht="17.25" x14ac:dyDescent="0.3">
      <c r="A86" s="6">
        <v>43594</v>
      </c>
      <c r="B86" s="6">
        <v>44687</v>
      </c>
      <c r="C86" s="7">
        <v>1084</v>
      </c>
      <c r="D86" s="8" t="s">
        <v>86</v>
      </c>
      <c r="E86" s="9">
        <f>13+12</f>
        <v>25</v>
      </c>
      <c r="F86" s="10" t="s">
        <v>20</v>
      </c>
      <c r="G86" s="10">
        <f>SUMIF([1]!Table3[Código Institucional],'[1]ENTRADA 6-05-2022'!C86:C282,[1]!Table3[Cantidad])</f>
        <v>21</v>
      </c>
      <c r="H86" s="10">
        <f>SUMIF([1]!Table2[Código Institucional],'[1]ENTRADA 6-05-2022'!C86:C282,[1]!Table2[Cantidad])</f>
        <v>7</v>
      </c>
      <c r="I86" s="11">
        <v>42.38</v>
      </c>
      <c r="J86" s="12">
        <f t="shared" si="2"/>
        <v>190.71</v>
      </c>
      <c r="K86" s="13">
        <f t="shared" si="3"/>
        <v>1250.21</v>
      </c>
    </row>
    <row r="87" spans="1:11" ht="17.25" x14ac:dyDescent="0.3">
      <c r="A87" s="6">
        <v>43594</v>
      </c>
      <c r="B87" s="6">
        <v>44687</v>
      </c>
      <c r="C87" s="7">
        <v>1085</v>
      </c>
      <c r="D87" s="8" t="s">
        <v>87</v>
      </c>
      <c r="E87" s="9">
        <f>5+5</f>
        <v>10</v>
      </c>
      <c r="F87" s="10" t="s">
        <v>20</v>
      </c>
      <c r="G87" s="10">
        <f>SUMIF([1]!Table3[Código Institucional],'[1]ENTRADA 6-05-2022'!C87:C283,[1]!Table3[Cantidad])</f>
        <v>25</v>
      </c>
      <c r="H87" s="10">
        <f>SUMIF([1]!Table2[Código Institucional],'[1]ENTRADA 6-05-2022'!C87:C283,[1]!Table2[Cantidad])</f>
        <v>15</v>
      </c>
      <c r="I87" s="11">
        <v>42.38</v>
      </c>
      <c r="J87" s="12">
        <f t="shared" si="2"/>
        <v>76.284000000000006</v>
      </c>
      <c r="K87" s="13">
        <f t="shared" si="3"/>
        <v>500.084</v>
      </c>
    </row>
    <row r="88" spans="1:11" ht="17.25" x14ac:dyDescent="0.3">
      <c r="A88" s="6">
        <v>43594</v>
      </c>
      <c r="B88" s="6">
        <v>44315</v>
      </c>
      <c r="C88" s="7">
        <v>1086</v>
      </c>
      <c r="D88" s="16" t="s">
        <v>88</v>
      </c>
      <c r="E88" s="9">
        <v>24</v>
      </c>
      <c r="F88" s="10" t="s">
        <v>20</v>
      </c>
      <c r="G88" s="10">
        <f>SUMIF([1]!Table3[Código Institucional],'[1]ENTRADA 6-05-2022'!C88:C284,[1]!Table3[Cantidad])</f>
        <v>29</v>
      </c>
      <c r="H88" s="10">
        <f>SUMIF([1]!Table2[Código Institucional],'[1]ENTRADA 6-05-2022'!C88:C284,[1]!Table2[Cantidad])</f>
        <v>3</v>
      </c>
      <c r="I88" s="11">
        <v>44.07</v>
      </c>
      <c r="J88" s="12">
        <f t="shared" si="2"/>
        <v>190.38239999999999</v>
      </c>
      <c r="K88" s="13">
        <f t="shared" si="3"/>
        <v>1248.0624</v>
      </c>
    </row>
    <row r="89" spans="1:11" ht="17.25" x14ac:dyDescent="0.3">
      <c r="A89" s="6">
        <v>43594</v>
      </c>
      <c r="B89" s="6">
        <v>44315</v>
      </c>
      <c r="C89" s="7">
        <v>1087</v>
      </c>
      <c r="D89" s="16" t="s">
        <v>89</v>
      </c>
      <c r="E89" s="9">
        <f>5+7</f>
        <v>12</v>
      </c>
      <c r="F89" s="10" t="s">
        <v>20</v>
      </c>
      <c r="G89" s="10">
        <f>SUMIF([1]!Table3[Código Institucional],'[1]ENTRADA 6-05-2022'!C89:C285,[1]!Table3[Cantidad])</f>
        <v>15</v>
      </c>
      <c r="H89" s="10">
        <f>SUMIF([1]!Table2[Código Institucional],'[1]ENTRADA 6-05-2022'!C89:C285,[1]!Table2[Cantidad])</f>
        <v>9</v>
      </c>
      <c r="I89" s="11">
        <v>45.15</v>
      </c>
      <c r="J89" s="12">
        <f t="shared" si="2"/>
        <v>97.523999999999987</v>
      </c>
      <c r="K89" s="13">
        <f t="shared" si="3"/>
        <v>639.32399999999996</v>
      </c>
    </row>
    <row r="90" spans="1:11" ht="17.25" x14ac:dyDescent="0.3">
      <c r="A90" s="6">
        <v>43594</v>
      </c>
      <c r="B90" s="6">
        <v>44687</v>
      </c>
      <c r="C90" s="7">
        <v>1088</v>
      </c>
      <c r="D90" s="16" t="s">
        <v>90</v>
      </c>
      <c r="E90" s="9">
        <v>31</v>
      </c>
      <c r="F90" s="10" t="s">
        <v>20</v>
      </c>
      <c r="G90" s="10">
        <f>SUMIF([1]!Table3[Código Institucional],'[1]ENTRADA 6-05-2022'!C90:C286,[1]!Table3[Cantidad])</f>
        <v>12</v>
      </c>
      <c r="H90" s="10">
        <f>SUMIF([1]!Table2[Código Institucional],'[1]ENTRADA 6-05-2022'!C90:C286,[1]!Table2[Cantidad])</f>
        <v>3</v>
      </c>
      <c r="I90" s="11">
        <v>32.200000000000003</v>
      </c>
      <c r="J90" s="12">
        <f t="shared" si="2"/>
        <v>179.67600000000002</v>
      </c>
      <c r="K90" s="13">
        <f t="shared" si="3"/>
        <v>1177.876</v>
      </c>
    </row>
    <row r="91" spans="1:11" ht="17.25" hidden="1" x14ac:dyDescent="0.3">
      <c r="A91" s="6">
        <v>43594</v>
      </c>
      <c r="B91" s="6">
        <v>43717</v>
      </c>
      <c r="C91" s="7">
        <v>1089</v>
      </c>
      <c r="D91" s="8" t="s">
        <v>91</v>
      </c>
      <c r="E91" s="9">
        <f>Table167910[[#This Row],[Qty Entrada]]-Table167910[[#This Row],[Qty Salida]]</f>
        <v>0</v>
      </c>
      <c r="F91" s="10" t="s">
        <v>20</v>
      </c>
      <c r="G91" s="10">
        <f>SUMIF([1]!Table3[Código Institucional],'[1]ENTRADA 6-05-2022'!C91:C287,[1]!Table3[Cantidad])</f>
        <v>1</v>
      </c>
      <c r="H91" s="10">
        <f>SUMIF([1]!Table2[Código Institucional],'[1]ENTRADA 6-05-2022'!C91:C287,[1]!Table2[Cantidad])</f>
        <v>1</v>
      </c>
      <c r="I91" s="11">
        <v>770.01</v>
      </c>
      <c r="J91" s="12">
        <f t="shared" si="2"/>
        <v>0</v>
      </c>
      <c r="K91" s="13">
        <f t="shared" si="3"/>
        <v>0</v>
      </c>
    </row>
    <row r="92" spans="1:11" ht="18" hidden="1" customHeight="1" x14ac:dyDescent="0.3">
      <c r="A92" s="6"/>
      <c r="B92" s="6"/>
      <c r="C92" s="7"/>
      <c r="D92" s="8"/>
      <c r="E92" s="9">
        <f>Table167910[[#This Row],[Qty Entrada]]-Table167910[[#This Row],[Qty Salida]]</f>
        <v>0</v>
      </c>
      <c r="F92" s="10"/>
      <c r="G92" s="10">
        <f>SUMIF([1]!Table3[Código Institucional],'[1]ENTRADA 6-05-2022'!C92:C288,[1]!Table3[Cantidad])</f>
        <v>0</v>
      </c>
      <c r="H92" s="10">
        <f>SUMIF([1]!Table2[Código Institucional],'[1]ENTRADA 6-05-2022'!C92:C288,[1]!Table2[Cantidad])</f>
        <v>0</v>
      </c>
      <c r="I92" s="11"/>
      <c r="J92" s="12">
        <f>I92*18%*E92</f>
        <v>0</v>
      </c>
      <c r="K92" s="13">
        <f>E92*I92+J92</f>
        <v>0</v>
      </c>
    </row>
    <row r="93" spans="1:11" ht="17.25" x14ac:dyDescent="0.3">
      <c r="A93" s="6">
        <v>43594</v>
      </c>
      <c r="B93" s="6">
        <v>44315</v>
      </c>
      <c r="C93" s="7">
        <v>1091</v>
      </c>
      <c r="D93" s="8" t="s">
        <v>92</v>
      </c>
      <c r="E93" s="9">
        <v>11</v>
      </c>
      <c r="F93" s="10" t="s">
        <v>25</v>
      </c>
      <c r="G93" s="10">
        <f>SUMIF([1]!Table3[Código Institucional],'[1]ENTRADA 6-05-2022'!C93:C289,[1]!Table3[Cantidad])</f>
        <v>13</v>
      </c>
      <c r="H93" s="10">
        <f>SUMIF([1]!Table2[Código Institucional],'[1]ENTRADA 6-05-2022'!C93:C289,[1]!Table2[Cantidad])</f>
        <v>2</v>
      </c>
      <c r="I93" s="11">
        <v>102.26</v>
      </c>
      <c r="J93" s="12">
        <f t="shared" si="2"/>
        <v>202.47480000000002</v>
      </c>
      <c r="K93" s="13">
        <f t="shared" si="3"/>
        <v>1327.3348000000001</v>
      </c>
    </row>
    <row r="94" spans="1:11" ht="17.25" hidden="1" x14ac:dyDescent="0.3">
      <c r="A94" s="6">
        <v>43594</v>
      </c>
      <c r="B94" s="6">
        <v>43717</v>
      </c>
      <c r="C94" s="7"/>
      <c r="D94" s="16"/>
      <c r="E94" s="9">
        <f>Table167910[[#This Row],[Qty Entrada]]-Table167910[[#This Row],[Qty Salida]]</f>
        <v>0</v>
      </c>
      <c r="F94" s="10" t="s">
        <v>25</v>
      </c>
      <c r="G94" s="10">
        <f>SUMIF([1]!Table3[Código Institucional],'[1]ENTRADA 6-05-2022'!C94:C290,[1]!Table3[Cantidad])</f>
        <v>0</v>
      </c>
      <c r="H94" s="10">
        <f>SUMIF([1]!Table2[Código Institucional],'[1]ENTRADA 6-05-2022'!C94:C290,[1]!Table2[Cantidad])</f>
        <v>0</v>
      </c>
      <c r="I94" s="11">
        <v>103.55</v>
      </c>
      <c r="J94" s="12">
        <f t="shared" si="2"/>
        <v>0</v>
      </c>
      <c r="K94" s="13">
        <f t="shared" si="3"/>
        <v>0</v>
      </c>
    </row>
    <row r="95" spans="1:11" ht="19.5" customHeight="1" x14ac:dyDescent="0.3">
      <c r="A95" s="6">
        <v>43594</v>
      </c>
      <c r="B95" s="6">
        <v>44315</v>
      </c>
      <c r="C95" s="7">
        <v>1093</v>
      </c>
      <c r="D95" s="16" t="s">
        <v>93</v>
      </c>
      <c r="E95" s="9">
        <f>16-1</f>
        <v>15</v>
      </c>
      <c r="F95" s="10" t="s">
        <v>25</v>
      </c>
      <c r="G95" s="10">
        <f>SUMIF([1]!Table3[Código Institucional],'[1]ENTRADA 6-05-2022'!C95:C291,[1]!Table3[Cantidad])</f>
        <v>18</v>
      </c>
      <c r="H95" s="10">
        <f>SUMIF([1]!Table2[Código Institucional],'[1]ENTRADA 6-05-2022'!C95:C291,[1]!Table2[Cantidad])</f>
        <v>0</v>
      </c>
      <c r="I95" s="11">
        <v>64.150000000000006</v>
      </c>
      <c r="J95" s="12">
        <f t="shared" si="2"/>
        <v>173.20500000000001</v>
      </c>
      <c r="K95" s="13">
        <f t="shared" si="3"/>
        <v>1135.4550000000002</v>
      </c>
    </row>
    <row r="96" spans="1:11" ht="17.25" hidden="1" x14ac:dyDescent="0.3">
      <c r="A96" s="6">
        <v>43594</v>
      </c>
      <c r="B96" s="6">
        <v>43717</v>
      </c>
      <c r="C96" s="7"/>
      <c r="D96" s="16"/>
      <c r="E96" s="9">
        <f>Table167910[[#This Row],[Qty Entrada]]-Table167910[[#This Row],[Qty Salida]]</f>
        <v>0</v>
      </c>
      <c r="F96" s="10" t="s">
        <v>25</v>
      </c>
      <c r="G96" s="10">
        <f>SUMIF([1]!Table3[Código Institucional],'[1]ENTRADA 6-05-2022'!C96:C292,[1]!Table3[Cantidad])</f>
        <v>0</v>
      </c>
      <c r="H96" s="10">
        <f>SUMIF([1]!Table2[Código Institucional],'[1]ENTRADA 6-05-2022'!C96:C292,[1]!Table2[Cantidad])</f>
        <v>0</v>
      </c>
      <c r="I96" s="11">
        <v>63.88</v>
      </c>
      <c r="J96" s="12">
        <f t="shared" si="2"/>
        <v>0</v>
      </c>
      <c r="K96" s="13">
        <f t="shared" si="3"/>
        <v>0</v>
      </c>
    </row>
    <row r="97" spans="1:11" ht="23.25" customHeight="1" x14ac:dyDescent="0.3">
      <c r="A97" s="6">
        <v>43594</v>
      </c>
      <c r="B97" s="6">
        <v>44687</v>
      </c>
      <c r="C97" s="7">
        <v>1095</v>
      </c>
      <c r="D97" s="16" t="s">
        <v>94</v>
      </c>
      <c r="E97" s="9">
        <f>8+6-1</f>
        <v>13</v>
      </c>
      <c r="F97" s="10" t="s">
        <v>25</v>
      </c>
      <c r="G97" s="10">
        <f>SUMIF([1]!Table3[Código Institucional],'[1]ENTRADA 6-05-2022'!C97:C293,[1]!Table3[Cantidad])</f>
        <v>16</v>
      </c>
      <c r="H97" s="10">
        <f>SUMIF([1]!Table2[Código Institucional],'[1]ENTRADA 6-05-2022'!C97:C293,[1]!Table2[Cantidad])</f>
        <v>9</v>
      </c>
      <c r="I97" s="11">
        <v>63.9</v>
      </c>
      <c r="J97" s="12">
        <f t="shared" si="2"/>
        <v>149.52599999999998</v>
      </c>
      <c r="K97" s="13">
        <f t="shared" si="3"/>
        <v>980.22599999999989</v>
      </c>
    </row>
    <row r="98" spans="1:11" ht="17.25" hidden="1" x14ac:dyDescent="0.3">
      <c r="A98" s="6">
        <v>43594</v>
      </c>
      <c r="B98" s="6">
        <v>43717</v>
      </c>
      <c r="C98" s="7"/>
      <c r="D98" s="16"/>
      <c r="E98" s="9">
        <f>Table167910[[#This Row],[Qty Entrada]]-Table167910[[#This Row],[Qty Salida]]</f>
        <v>0</v>
      </c>
      <c r="F98" s="10" t="s">
        <v>25</v>
      </c>
      <c r="G98" s="10">
        <f>SUMIF([1]!Table3[Código Institucional],'[1]ENTRADA 6-05-2022'!C98:C294,[1]!Table3[Cantidad])</f>
        <v>0</v>
      </c>
      <c r="H98" s="10">
        <f>SUMIF([1]!Table2[Código Institucional],'[1]ENTRADA 6-05-2022'!C98:C294,[1]!Table2[Cantidad])</f>
        <v>0</v>
      </c>
      <c r="I98" s="11">
        <v>62.6</v>
      </c>
      <c r="J98" s="12">
        <f t="shared" si="2"/>
        <v>0</v>
      </c>
      <c r="K98" s="13">
        <f t="shared" si="3"/>
        <v>0</v>
      </c>
    </row>
    <row r="99" spans="1:11" ht="17.25" x14ac:dyDescent="0.3">
      <c r="A99" s="6">
        <v>43594</v>
      </c>
      <c r="B99" s="6">
        <v>44687</v>
      </c>
      <c r="C99" s="7">
        <v>1097</v>
      </c>
      <c r="D99" s="16" t="s">
        <v>95</v>
      </c>
      <c r="E99" s="9">
        <f>7+6-2</f>
        <v>11</v>
      </c>
      <c r="F99" s="10" t="s">
        <v>25</v>
      </c>
      <c r="G99" s="10">
        <f>SUMIF([1]!Table3[Código Institucional],'[1]ENTRADA 6-05-2022'!C99:C295,[1]!Table3[Cantidad])</f>
        <v>10</v>
      </c>
      <c r="H99" s="10">
        <f>SUMIF([1]!Table2[Código Institucional],'[1]ENTRADA 6-05-2022'!C99:C295,[1]!Table2[Cantidad])</f>
        <v>1</v>
      </c>
      <c r="I99" s="11">
        <v>28.89</v>
      </c>
      <c r="J99" s="12">
        <f t="shared" si="2"/>
        <v>57.202199999999998</v>
      </c>
      <c r="K99" s="13">
        <f t="shared" si="3"/>
        <v>374.99220000000003</v>
      </c>
    </row>
    <row r="100" spans="1:11" ht="17.25" x14ac:dyDescent="0.3">
      <c r="A100" s="6">
        <v>43594</v>
      </c>
      <c r="B100" s="6">
        <v>43717</v>
      </c>
      <c r="C100" s="7">
        <v>1099</v>
      </c>
      <c r="D100" s="16" t="s">
        <v>96</v>
      </c>
      <c r="E100" s="9">
        <v>9</v>
      </c>
      <c r="F100" s="10" t="s">
        <v>25</v>
      </c>
      <c r="G100" s="10">
        <f>SUMIF([1]!Table3[Código Institucional],'[1]ENTRADA 6-05-2022'!C100:C297,[1]!Table3[Cantidad])</f>
        <v>6</v>
      </c>
      <c r="H100" s="10">
        <f>SUMIF([1]!Table2[Código Institucional],'[1]ENTRADA 6-05-2022'!C100:C297,[1]!Table2[Cantidad])</f>
        <v>1</v>
      </c>
      <c r="I100" s="11">
        <v>18.149999999999999</v>
      </c>
      <c r="J100" s="12">
        <f t="shared" si="2"/>
        <v>29.402999999999995</v>
      </c>
      <c r="K100" s="13">
        <f t="shared" si="3"/>
        <v>192.75299999999999</v>
      </c>
    </row>
    <row r="101" spans="1:11" ht="17.25" x14ac:dyDescent="0.3">
      <c r="A101" s="6">
        <v>43594</v>
      </c>
      <c r="B101" s="6">
        <v>44687</v>
      </c>
      <c r="C101" s="7">
        <v>1100</v>
      </c>
      <c r="D101" s="8" t="s">
        <v>97</v>
      </c>
      <c r="E101" s="9">
        <f>32+12-4</f>
        <v>40</v>
      </c>
      <c r="F101" s="10" t="s">
        <v>20</v>
      </c>
      <c r="G101" s="10">
        <f>SUMIF([1]!Table3[Código Institucional],'[1]ENTRADA 6-05-2022'!C101:C298,[1]!Table3[Cantidad])</f>
        <v>31</v>
      </c>
      <c r="H101" s="10">
        <f>SUMIF([1]!Table2[Código Institucional],'[1]ENTRADA 6-05-2022'!C101:C298,[1]!Table2[Cantidad])</f>
        <v>5</v>
      </c>
      <c r="I101" s="11">
        <v>66.510000000000005</v>
      </c>
      <c r="J101" s="12">
        <f t="shared" si="2"/>
        <v>478.87200000000001</v>
      </c>
      <c r="K101" s="13">
        <f t="shared" si="3"/>
        <v>3139.2719999999999</v>
      </c>
    </row>
    <row r="102" spans="1:11" ht="17.25" x14ac:dyDescent="0.3">
      <c r="A102" s="6">
        <v>43594</v>
      </c>
      <c r="B102" s="6">
        <v>44687</v>
      </c>
      <c r="C102" s="7">
        <v>1101</v>
      </c>
      <c r="D102" s="8" t="s">
        <v>98</v>
      </c>
      <c r="E102" s="9">
        <f>32+12-4-1</f>
        <v>39</v>
      </c>
      <c r="F102" s="10" t="s">
        <v>99</v>
      </c>
      <c r="G102" s="10">
        <f>SUMIF([1]!Table3[Código Institucional],'[1]ENTRADA 6-05-2022'!C102:C299,[1]!Table3[Cantidad])</f>
        <v>37</v>
      </c>
      <c r="H102" s="10">
        <f>SUMIF([1]!Table2[Código Institucional],'[1]ENTRADA 6-05-2022'!C102:C299,[1]!Table2[Cantidad])</f>
        <v>3</v>
      </c>
      <c r="I102" s="11">
        <v>48</v>
      </c>
      <c r="J102" s="12">
        <f t="shared" si="2"/>
        <v>336.96000000000004</v>
      </c>
      <c r="K102" s="13">
        <f t="shared" si="3"/>
        <v>2208.96</v>
      </c>
    </row>
    <row r="103" spans="1:11" ht="17.25" x14ac:dyDescent="0.3">
      <c r="A103" s="6">
        <v>43594</v>
      </c>
      <c r="B103" s="6">
        <v>44315</v>
      </c>
      <c r="C103" s="7">
        <v>1102</v>
      </c>
      <c r="D103" s="16" t="s">
        <v>100</v>
      </c>
      <c r="E103" s="9">
        <v>5</v>
      </c>
      <c r="F103" s="10" t="s">
        <v>99</v>
      </c>
      <c r="G103" s="10">
        <f>SUMIF([1]!Table3[Código Institucional],'[1]ENTRADA 6-05-2022'!C103:C300,[1]!Table3[Cantidad])</f>
        <v>25</v>
      </c>
      <c r="H103" s="10">
        <f>SUMIF([1]!Table2[Código Institucional],'[1]ENTRADA 6-05-2022'!C103:C300,[1]!Table2[Cantidad])</f>
        <v>19</v>
      </c>
      <c r="I103" s="11">
        <v>159.9</v>
      </c>
      <c r="J103" s="12">
        <f t="shared" si="2"/>
        <v>143.91</v>
      </c>
      <c r="K103" s="13">
        <f t="shared" si="3"/>
        <v>943.41</v>
      </c>
    </row>
    <row r="104" spans="1:11" ht="17.25" x14ac:dyDescent="0.3">
      <c r="A104" s="6">
        <v>43594</v>
      </c>
      <c r="B104" s="6">
        <v>43717</v>
      </c>
      <c r="C104" s="7">
        <v>1103</v>
      </c>
      <c r="D104" s="16" t="s">
        <v>101</v>
      </c>
      <c r="E104" s="9">
        <v>2</v>
      </c>
      <c r="F104" s="10" t="s">
        <v>99</v>
      </c>
      <c r="G104" s="10">
        <f>SUMIF([1]!Table3[Código Institucional],'[1]ENTRADA 6-05-2022'!C104:C301,[1]!Table3[Cantidad])</f>
        <v>11</v>
      </c>
      <c r="H104" s="10">
        <f>SUMIF([1]!Table2[Código Institucional],'[1]ENTRADA 6-05-2022'!C104:C301,[1]!Table2[Cantidad])</f>
        <v>8</v>
      </c>
      <c r="I104" s="11">
        <v>171.42</v>
      </c>
      <c r="J104" s="12">
        <f t="shared" si="2"/>
        <v>61.711199999999991</v>
      </c>
      <c r="K104" s="13">
        <f t="shared" si="3"/>
        <v>404.55119999999999</v>
      </c>
    </row>
    <row r="105" spans="1:11" ht="17.25" hidden="1" x14ac:dyDescent="0.3">
      <c r="A105" s="6">
        <v>43594</v>
      </c>
      <c r="B105" s="6">
        <v>44315</v>
      </c>
      <c r="C105" s="7">
        <v>1104</v>
      </c>
      <c r="D105" s="16" t="s">
        <v>102</v>
      </c>
      <c r="E105" s="9">
        <v>0</v>
      </c>
      <c r="F105" s="10" t="s">
        <v>99</v>
      </c>
      <c r="G105" s="10">
        <f>SUMIF([1]!Table3[Código Institucional],'[1]ENTRADA 6-05-2022'!C105:C302,[1]!Table3[Cantidad])</f>
        <v>21</v>
      </c>
      <c r="H105" s="10">
        <f>SUMIF([1]!Table2[Código Institucional],'[1]ENTRADA 6-05-2022'!C105:C302,[1]!Table2[Cantidad])</f>
        <v>23</v>
      </c>
      <c r="I105" s="11">
        <v>159.9</v>
      </c>
      <c r="J105" s="12">
        <f t="shared" si="2"/>
        <v>0</v>
      </c>
      <c r="K105" s="13">
        <f t="shared" si="3"/>
        <v>0</v>
      </c>
    </row>
    <row r="106" spans="1:11" ht="17.25" hidden="1" x14ac:dyDescent="0.3">
      <c r="A106" s="6">
        <v>43594</v>
      </c>
      <c r="B106" s="6">
        <v>43717</v>
      </c>
      <c r="C106" s="7">
        <v>1105</v>
      </c>
      <c r="D106" s="16" t="s">
        <v>103</v>
      </c>
      <c r="E106" s="9">
        <f>Table167910[[#This Row],[Qty Entrada]]-Table167910[[#This Row],[Qty Salida]]</f>
        <v>0</v>
      </c>
      <c r="F106" s="10" t="s">
        <v>99</v>
      </c>
      <c r="G106" s="10">
        <f>SUMIF([1]!Table3[Código Institucional],'[1]ENTRADA 6-05-2022'!C106:C303,[1]!Table3[Cantidad])</f>
        <v>13</v>
      </c>
      <c r="H106" s="10">
        <f>SUMIF([1]!Table2[Código Institucional],'[1]ENTRADA 6-05-2022'!C106:C303,[1]!Table2[Cantidad])</f>
        <v>13</v>
      </c>
      <c r="I106" s="11">
        <v>171.42</v>
      </c>
      <c r="J106" s="12">
        <f t="shared" si="2"/>
        <v>0</v>
      </c>
      <c r="K106" s="13">
        <f t="shared" si="3"/>
        <v>0</v>
      </c>
    </row>
    <row r="107" spans="1:11" ht="17.25" x14ac:dyDescent="0.3">
      <c r="A107" s="6">
        <v>43594</v>
      </c>
      <c r="B107" s="6">
        <v>44315</v>
      </c>
      <c r="C107" s="7">
        <v>1106</v>
      </c>
      <c r="D107" s="8" t="s">
        <v>104</v>
      </c>
      <c r="E107" s="9">
        <v>8</v>
      </c>
      <c r="F107" s="10" t="s">
        <v>99</v>
      </c>
      <c r="G107" s="10">
        <f>SUMIF([1]!Table3[Código Institucional],'[1]ENTRADA 6-05-2022'!C107:C304,[1]!Table3[Cantidad])</f>
        <v>15</v>
      </c>
      <c r="H107" s="10">
        <f>SUMIF([1]!Table2[Código Institucional],'[1]ENTRADA 6-05-2022'!C107:C304,[1]!Table2[Cantidad])</f>
        <v>6</v>
      </c>
      <c r="I107" s="11">
        <v>169.32</v>
      </c>
      <c r="J107" s="12">
        <f t="shared" si="2"/>
        <v>243.82079999999999</v>
      </c>
      <c r="K107" s="13">
        <f t="shared" si="3"/>
        <v>1598.3807999999999</v>
      </c>
    </row>
    <row r="108" spans="1:11" ht="17.25" x14ac:dyDescent="0.3">
      <c r="A108" s="6">
        <v>43594</v>
      </c>
      <c r="B108" s="6">
        <v>44687</v>
      </c>
      <c r="C108" s="7">
        <v>1107</v>
      </c>
      <c r="D108" s="8" t="s">
        <v>105</v>
      </c>
      <c r="E108" s="9">
        <f>19+6-1-1</f>
        <v>23</v>
      </c>
      <c r="F108" s="10" t="s">
        <v>20</v>
      </c>
      <c r="G108" s="10">
        <f>SUMIF([1]!Table3[Código Institucional],'[1]ENTRADA 6-05-2022'!C108:C305,[1]!Table3[Cantidad])</f>
        <v>20</v>
      </c>
      <c r="H108" s="10">
        <f>SUMIF([1]!Table2[Código Institucional],'[1]ENTRADA 6-05-2022'!C108:C305,[1]!Table2[Cantidad])</f>
        <v>0</v>
      </c>
      <c r="I108" s="11">
        <v>45</v>
      </c>
      <c r="J108" s="12">
        <f t="shared" si="2"/>
        <v>186.29999999999998</v>
      </c>
      <c r="K108" s="13">
        <f t="shared" si="3"/>
        <v>1221.3</v>
      </c>
    </row>
    <row r="109" spans="1:11" ht="17.25" x14ac:dyDescent="0.3">
      <c r="A109" s="6">
        <v>44687</v>
      </c>
      <c r="B109" s="6">
        <v>44315</v>
      </c>
      <c r="C109" s="7">
        <v>1108</v>
      </c>
      <c r="D109" s="8" t="s">
        <v>106</v>
      </c>
      <c r="E109" s="9">
        <f>12+6</f>
        <v>18</v>
      </c>
      <c r="F109" s="10" t="s">
        <v>20</v>
      </c>
      <c r="G109" s="10">
        <f>SUMIF([1]!Table3[Código Institucional],'[1]ENTRADA 6-05-2022'!C109:C306,[1]!Table3[Cantidad])</f>
        <v>15</v>
      </c>
      <c r="H109" s="10">
        <f>SUMIF([1]!Table2[Código Institucional],'[1]ENTRADA 6-05-2022'!C109:C306,[1]!Table2[Cantidad])</f>
        <v>1</v>
      </c>
      <c r="I109" s="11">
        <v>7</v>
      </c>
      <c r="J109" s="12">
        <f t="shared" si="2"/>
        <v>22.68</v>
      </c>
      <c r="K109" s="13">
        <f t="shared" si="3"/>
        <v>148.68</v>
      </c>
    </row>
    <row r="110" spans="1:11" ht="17.25" x14ac:dyDescent="0.3">
      <c r="A110" s="6">
        <v>44687</v>
      </c>
      <c r="B110" s="6">
        <v>43717</v>
      </c>
      <c r="C110" s="7">
        <v>1109</v>
      </c>
      <c r="D110" s="8" t="s">
        <v>107</v>
      </c>
      <c r="E110" s="9">
        <f>13+6</f>
        <v>19</v>
      </c>
      <c r="F110" s="10" t="s">
        <v>20</v>
      </c>
      <c r="G110" s="10">
        <f>SUMIF([1]!Table3[Código Institucional],'[1]ENTRADA 6-05-2022'!C110:C307,[1]!Table3[Cantidad])</f>
        <v>13</v>
      </c>
      <c r="H110" s="10">
        <f>SUMIF([1]!Table2[Código Institucional],'[1]ENTRADA 6-05-2022'!C110:C307,[1]!Table2[Cantidad])</f>
        <v>3</v>
      </c>
      <c r="I110" s="11">
        <v>24.25</v>
      </c>
      <c r="J110" s="12">
        <f t="shared" si="2"/>
        <v>82.935000000000002</v>
      </c>
      <c r="K110" s="13">
        <f t="shared" si="3"/>
        <v>543.68499999999995</v>
      </c>
    </row>
    <row r="111" spans="1:11" ht="17.25" hidden="1" x14ac:dyDescent="0.3">
      <c r="A111" s="6">
        <v>43594</v>
      </c>
      <c r="B111" s="6">
        <v>43717</v>
      </c>
      <c r="C111" s="7">
        <v>1110</v>
      </c>
      <c r="D111" s="8"/>
      <c r="E111" s="9">
        <f>Table167910[[#This Row],[Qty Entrada]]-Table167910[[#This Row],[Qty Salida]]</f>
        <v>0</v>
      </c>
      <c r="F111" s="10"/>
      <c r="G111" s="10">
        <f>SUMIF([1]!Table3[Código Institucional],'[1]ENTRADA 6-05-2022'!C111:C308,[1]!Table3[Cantidad])</f>
        <v>0</v>
      </c>
      <c r="H111" s="10">
        <f>SUMIF([1]!Table2[Código Institucional],'[1]ENTRADA 6-05-2022'!C111:C308,[1]!Table2[Cantidad])</f>
        <v>0</v>
      </c>
      <c r="I111" s="11"/>
      <c r="J111" s="12">
        <f t="shared" si="2"/>
        <v>0</v>
      </c>
      <c r="K111" s="13">
        <f t="shared" si="3"/>
        <v>0</v>
      </c>
    </row>
    <row r="112" spans="1:11" ht="17.25" x14ac:dyDescent="0.3">
      <c r="A112" s="6">
        <v>44687</v>
      </c>
      <c r="B112" s="6">
        <v>43717</v>
      </c>
      <c r="C112" s="7">
        <v>1111</v>
      </c>
      <c r="D112" s="8" t="s">
        <v>108</v>
      </c>
      <c r="E112" s="9">
        <f>5+12-1</f>
        <v>16</v>
      </c>
      <c r="F112" s="10" t="s">
        <v>20</v>
      </c>
      <c r="G112" s="10">
        <f>SUMIF([1]!Table3[Código Institucional],'[1]ENTRADA 6-05-2022'!C112:C309,[1]!Table3[Cantidad])</f>
        <v>10</v>
      </c>
      <c r="H112" s="10">
        <f>SUMIF([1]!Table2[Código Institucional],'[1]ENTRADA 6-05-2022'!C112:C309,[1]!Table2[Cantidad])</f>
        <v>2</v>
      </c>
      <c r="I112" s="11">
        <v>5.25</v>
      </c>
      <c r="J112" s="12">
        <f t="shared" si="2"/>
        <v>15.12</v>
      </c>
      <c r="K112" s="13">
        <f t="shared" si="3"/>
        <v>99.12</v>
      </c>
    </row>
    <row r="113" spans="1:11" ht="17.25" x14ac:dyDescent="0.3">
      <c r="A113" s="6">
        <v>43594</v>
      </c>
      <c r="B113" s="6">
        <v>44687</v>
      </c>
      <c r="C113" s="7">
        <v>1112</v>
      </c>
      <c r="D113" s="8" t="s">
        <v>109</v>
      </c>
      <c r="E113" s="9">
        <f>3+6</f>
        <v>9</v>
      </c>
      <c r="F113" s="10" t="s">
        <v>20</v>
      </c>
      <c r="G113" s="10">
        <f>SUMIF([1]!Table3[Código Institucional],'[1]ENTRADA 6-05-2022'!C113:C310,[1]!Table3[Cantidad])</f>
        <v>15</v>
      </c>
      <c r="H113" s="10">
        <f>SUMIF([1]!Table2[Código Institucional],'[1]ENTRADA 6-05-2022'!C113:C310,[1]!Table2[Cantidad])</f>
        <v>9</v>
      </c>
      <c r="I113" s="11">
        <v>53.39</v>
      </c>
      <c r="J113" s="12">
        <f t="shared" si="2"/>
        <v>86.491799999999984</v>
      </c>
      <c r="K113" s="13">
        <f t="shared" si="3"/>
        <v>567.0018</v>
      </c>
    </row>
    <row r="114" spans="1:11" ht="17.25" x14ac:dyDescent="0.3">
      <c r="A114" s="6">
        <v>43594</v>
      </c>
      <c r="B114" s="6">
        <v>44687</v>
      </c>
      <c r="C114" s="7">
        <v>1113</v>
      </c>
      <c r="D114" s="8" t="s">
        <v>110</v>
      </c>
      <c r="E114" s="9">
        <f>5+6</f>
        <v>11</v>
      </c>
      <c r="F114" s="10" t="s">
        <v>20</v>
      </c>
      <c r="G114" s="10">
        <f>SUMIF([1]!Table3[Código Institucional],'[1]ENTRADA 6-05-2022'!C114:C311,[1]!Table3[Cantidad])</f>
        <v>9</v>
      </c>
      <c r="H114" s="10">
        <f>SUMIF([1]!Table2[Código Institucional],'[1]ENTRADA 6-05-2022'!C114:C311,[1]!Table2[Cantidad])</f>
        <v>2</v>
      </c>
      <c r="I114" s="11">
        <v>9.6199999999999992</v>
      </c>
      <c r="J114" s="12">
        <f t="shared" si="2"/>
        <v>19.047599999999999</v>
      </c>
      <c r="K114" s="13">
        <f t="shared" si="3"/>
        <v>124.8676</v>
      </c>
    </row>
    <row r="115" spans="1:11" ht="17.25" x14ac:dyDescent="0.3">
      <c r="A115" s="6">
        <v>43594</v>
      </c>
      <c r="B115" s="6">
        <v>44687</v>
      </c>
      <c r="C115" s="7">
        <v>1114</v>
      </c>
      <c r="D115" s="8" t="s">
        <v>111</v>
      </c>
      <c r="E115" s="9">
        <f>4+7+1</f>
        <v>12</v>
      </c>
      <c r="F115" s="10" t="s">
        <v>20</v>
      </c>
      <c r="G115" s="10">
        <f>SUMIF([1]!Table3[Código Institucional],'[1]ENTRADA 6-05-2022'!C115:C312,[1]!Table3[Cantidad])</f>
        <v>36</v>
      </c>
      <c r="H115" s="10">
        <f>SUMIF([1]!Table2[Código Institucional],'[1]ENTRADA 6-05-2022'!C115:C312,[1]!Table2[Cantidad])</f>
        <v>29</v>
      </c>
      <c r="I115" s="11">
        <v>5.2</v>
      </c>
      <c r="J115" s="12">
        <f t="shared" si="2"/>
        <v>11.231999999999999</v>
      </c>
      <c r="K115" s="13">
        <f t="shared" si="3"/>
        <v>73.632000000000005</v>
      </c>
    </row>
    <row r="116" spans="1:11" ht="17.25" x14ac:dyDescent="0.3">
      <c r="A116" s="6">
        <v>43594</v>
      </c>
      <c r="B116" s="6">
        <v>44687</v>
      </c>
      <c r="C116" s="7">
        <v>1115</v>
      </c>
      <c r="D116" s="8" t="s">
        <v>112</v>
      </c>
      <c r="E116" s="9">
        <f>4+6</f>
        <v>10</v>
      </c>
      <c r="F116" s="10" t="s">
        <v>25</v>
      </c>
      <c r="G116" s="10">
        <f>SUMIF([1]!Table3[Código Institucional],'[1]ENTRADA 6-05-2022'!C116:C313,[1]!Table3[Cantidad])</f>
        <v>7</v>
      </c>
      <c r="H116" s="10">
        <f>SUMIF([1]!Table2[Código Institucional],'[1]ENTRADA 6-05-2022'!C116:C313,[1]!Table2[Cantidad])</f>
        <v>1</v>
      </c>
      <c r="I116" s="11">
        <v>5.2</v>
      </c>
      <c r="J116" s="12">
        <v>0</v>
      </c>
      <c r="K116" s="13">
        <f t="shared" si="3"/>
        <v>52</v>
      </c>
    </row>
    <row r="117" spans="1:11" ht="17.25" hidden="1" customHeight="1" x14ac:dyDescent="0.3">
      <c r="A117" s="6">
        <v>43594</v>
      </c>
      <c r="B117" s="6">
        <v>43717</v>
      </c>
      <c r="C117" s="7">
        <v>1116</v>
      </c>
      <c r="D117" s="8"/>
      <c r="E117" s="9">
        <f>Table167910[[#This Row],[Qty Entrada]]-Table167910[[#This Row],[Qty Salida]]</f>
        <v>0</v>
      </c>
      <c r="F117" s="10"/>
      <c r="G117" s="10">
        <f>SUMIF([1]!Table3[Código Institucional],'[1]ENTRADA 6-05-2022'!C117:C314,[1]!Table3[Cantidad])</f>
        <v>0</v>
      </c>
      <c r="H117" s="10">
        <f>SUMIF([1]!Table2[Código Institucional],'[1]ENTRADA 6-05-2022'!C117:C314,[1]!Table2[Cantidad])</f>
        <v>0</v>
      </c>
      <c r="I117" s="11"/>
      <c r="J117" s="12">
        <f t="shared" si="2"/>
        <v>0</v>
      </c>
      <c r="K117" s="13">
        <f t="shared" si="3"/>
        <v>0</v>
      </c>
    </row>
    <row r="118" spans="1:11" ht="17.25" x14ac:dyDescent="0.3">
      <c r="A118" s="6">
        <v>43594</v>
      </c>
      <c r="B118" s="6">
        <v>44315</v>
      </c>
      <c r="C118" s="7">
        <v>1117</v>
      </c>
      <c r="D118" s="8" t="s">
        <v>113</v>
      </c>
      <c r="E118" s="9">
        <f>8-1</f>
        <v>7</v>
      </c>
      <c r="F118" s="10" t="s">
        <v>20</v>
      </c>
      <c r="G118" s="10">
        <f>SUMIF([1]!Table3[Código Institucional],'[1]ENTRADA 6-05-2022'!C118:C315,[1]!Table3[Cantidad])</f>
        <v>7</v>
      </c>
      <c r="H118" s="10">
        <f>SUMIF([1]!Table2[Código Institucional],'[1]ENTRADA 6-05-2022'!C118:C315,[1]!Table2[Cantidad])</f>
        <v>2</v>
      </c>
      <c r="I118" s="11">
        <v>304.79000000000002</v>
      </c>
      <c r="J118" s="12">
        <v>54.86</v>
      </c>
      <c r="K118" s="13">
        <f t="shared" si="3"/>
        <v>2188.3900000000003</v>
      </c>
    </row>
    <row r="119" spans="1:11" ht="17.25" x14ac:dyDescent="0.3">
      <c r="A119" s="6">
        <v>43594</v>
      </c>
      <c r="B119" s="6">
        <v>43717</v>
      </c>
      <c r="C119" s="7">
        <v>1118</v>
      </c>
      <c r="D119" s="8" t="s">
        <v>114</v>
      </c>
      <c r="E119" s="9">
        <v>0</v>
      </c>
      <c r="F119" s="10" t="s">
        <v>20</v>
      </c>
      <c r="G119" s="10">
        <f>SUMIF([1]!Table3[Código Institucional],'[1]ENTRADA 6-05-2022'!C119:C316,[1]!Table3[Cantidad])</f>
        <v>34</v>
      </c>
      <c r="H119" s="10">
        <f>SUMIF([1]!Table2[Código Institucional],'[1]ENTRADA 6-05-2022'!C119:C316,[1]!Table2[Cantidad])</f>
        <v>0</v>
      </c>
      <c r="I119" s="11">
        <v>11</v>
      </c>
      <c r="J119" s="12">
        <v>54.86</v>
      </c>
      <c r="K119" s="13">
        <f t="shared" si="3"/>
        <v>54.86</v>
      </c>
    </row>
    <row r="120" spans="1:11" ht="17.25" x14ac:dyDescent="0.3">
      <c r="A120" s="6">
        <v>43594</v>
      </c>
      <c r="B120" s="6">
        <v>43717</v>
      </c>
      <c r="C120" s="7">
        <v>1119</v>
      </c>
      <c r="D120" s="8" t="s">
        <v>115</v>
      </c>
      <c r="E120" s="9">
        <f>Table167910[[#This Row],[Qty Entrada]]-Table167910[[#This Row],[Qty Salida]]</f>
        <v>21</v>
      </c>
      <c r="F120" s="10" t="s">
        <v>20</v>
      </c>
      <c r="G120" s="10">
        <f>SUMIF([1]!Table3[Código Institucional],'[1]ENTRADA 6-05-2022'!C120:C317,[1]!Table3[Cantidad])</f>
        <v>21</v>
      </c>
      <c r="H120" s="10">
        <f>SUMIF([1]!Table2[Código Institucional],'[1]ENTRADA 6-05-2022'!C120:C317,[1]!Table2[Cantidad])</f>
        <v>0</v>
      </c>
      <c r="I120" s="11">
        <v>10</v>
      </c>
      <c r="J120" s="12">
        <v>0</v>
      </c>
      <c r="K120" s="13">
        <f t="shared" si="3"/>
        <v>210</v>
      </c>
    </row>
    <row r="121" spans="1:11" ht="17.25" x14ac:dyDescent="0.3">
      <c r="A121" s="6">
        <v>43594</v>
      </c>
      <c r="B121" s="6">
        <v>43717</v>
      </c>
      <c r="C121" s="7">
        <v>1120</v>
      </c>
      <c r="D121" s="8" t="s">
        <v>116</v>
      </c>
      <c r="E121" s="9">
        <f>Table167910[[#This Row],[Qty Entrada]]-Table167910[[#This Row],[Qty Salida]]</f>
        <v>62</v>
      </c>
      <c r="F121" s="10" t="s">
        <v>20</v>
      </c>
      <c r="G121" s="10">
        <f>SUMIF([1]!Table3[Código Institucional],'[1]ENTRADA 6-05-2022'!C121:C318,[1]!Table3[Cantidad])</f>
        <v>62</v>
      </c>
      <c r="H121" s="10">
        <f>SUMIF([1]!Table2[Código Institucional],'[1]ENTRADA 6-05-2022'!C121:C318,[1]!Table2[Cantidad])</f>
        <v>0</v>
      </c>
      <c r="I121" s="11">
        <v>20</v>
      </c>
      <c r="J121" s="12">
        <f t="shared" si="2"/>
        <v>223.2</v>
      </c>
      <c r="K121" s="13">
        <f t="shared" si="3"/>
        <v>1463.2</v>
      </c>
    </row>
    <row r="122" spans="1:11" ht="17.25" hidden="1" customHeight="1" x14ac:dyDescent="0.3">
      <c r="A122" s="6">
        <v>43594</v>
      </c>
      <c r="B122" s="6">
        <v>43717</v>
      </c>
      <c r="C122" s="18">
        <v>1121</v>
      </c>
      <c r="D122" s="16" t="s">
        <v>117</v>
      </c>
      <c r="E122" s="9">
        <f>Table167910[[#This Row],[Qty Entrada]]-Table167910[[#This Row],[Qty Salida]]</f>
        <v>0</v>
      </c>
      <c r="F122" s="10" t="s">
        <v>20</v>
      </c>
      <c r="G122" s="10">
        <f>SUMIF([1]!Table3[Código Institucional],'[1]ENTRADA 6-05-2022'!C122:C319,[1]!Table3[Cantidad])</f>
        <v>8</v>
      </c>
      <c r="H122" s="10">
        <f>SUMIF([1]!Table2[Código Institucional],'[1]ENTRADA 6-05-2022'!C122:C319,[1]!Table2[Cantidad])</f>
        <v>8</v>
      </c>
      <c r="I122" s="11">
        <v>123.96</v>
      </c>
      <c r="J122" s="12">
        <f t="shared" si="2"/>
        <v>0</v>
      </c>
      <c r="K122" s="13">
        <f t="shared" si="3"/>
        <v>0</v>
      </c>
    </row>
    <row r="123" spans="1:11" ht="17.25" x14ac:dyDescent="0.3">
      <c r="A123" s="6">
        <v>43594</v>
      </c>
      <c r="B123" s="6">
        <v>44687</v>
      </c>
      <c r="C123" s="18">
        <v>1122</v>
      </c>
      <c r="D123" s="16" t="s">
        <v>118</v>
      </c>
      <c r="E123" s="9">
        <f>25+12-1</f>
        <v>36</v>
      </c>
      <c r="F123" s="10" t="s">
        <v>20</v>
      </c>
      <c r="G123" s="10">
        <f>SUMIF([1]!Table3[Código Institucional],'[1]ENTRADA 6-05-2022'!C123:C320,[1]!Table3[Cantidad])</f>
        <v>90</v>
      </c>
      <c r="H123" s="10">
        <f>SUMIF([1]!Table2[Código Institucional],'[1]ENTRADA 6-05-2022'!C123:C320,[1]!Table2[Cantidad])</f>
        <v>17</v>
      </c>
      <c r="I123" s="11">
        <v>144.07</v>
      </c>
      <c r="J123" s="12">
        <f t="shared" si="2"/>
        <v>933.57359999999994</v>
      </c>
      <c r="K123" s="13">
        <f t="shared" si="3"/>
        <v>6120.0935999999992</v>
      </c>
    </row>
    <row r="124" spans="1:11" ht="17.25" x14ac:dyDescent="0.3">
      <c r="A124" s="6">
        <v>44680</v>
      </c>
      <c r="B124" s="6">
        <v>44687</v>
      </c>
      <c r="C124" s="18">
        <v>1123</v>
      </c>
      <c r="D124" s="16" t="s">
        <v>119</v>
      </c>
      <c r="E124" s="9">
        <f>50+12</f>
        <v>62</v>
      </c>
      <c r="F124" s="10" t="s">
        <v>20</v>
      </c>
      <c r="G124" s="10">
        <f>SUMIF([1]!Table3[Código Institucional],'[1]ENTRADA 6-05-2022'!C124:C321,[1]!Table3[Cantidad])</f>
        <v>110</v>
      </c>
      <c r="H124" s="10">
        <f>SUMIF([1]!Table2[Código Institucional],'[1]ENTRADA 6-05-2022'!C124:C321,[1]!Table2[Cantidad])</f>
        <v>38</v>
      </c>
      <c r="I124" s="11">
        <v>135</v>
      </c>
      <c r="J124" s="12">
        <f t="shared" si="2"/>
        <v>1506.6000000000001</v>
      </c>
      <c r="K124" s="13">
        <f t="shared" si="3"/>
        <v>9876.6</v>
      </c>
    </row>
    <row r="125" spans="1:11" ht="17.25" x14ac:dyDescent="0.3">
      <c r="A125" s="6">
        <v>44680</v>
      </c>
      <c r="B125" s="6">
        <v>44687</v>
      </c>
      <c r="C125" s="18">
        <v>1124</v>
      </c>
      <c r="D125" s="16" t="s">
        <v>120</v>
      </c>
      <c r="E125" s="9">
        <f>10+20</f>
        <v>30</v>
      </c>
      <c r="F125" s="10" t="s">
        <v>20</v>
      </c>
      <c r="G125" s="10">
        <f>SUMIF([1]!Table3[Código Institucional],'[1]ENTRADA 6-05-2022'!C125:C322,[1]!Table3[Cantidad])</f>
        <v>58</v>
      </c>
      <c r="H125" s="10">
        <f>SUMIF([1]!Table2[Código Institucional],'[1]ENTRADA 6-05-2022'!C125:C322,[1]!Table2[Cantidad])</f>
        <v>9</v>
      </c>
      <c r="I125" s="11">
        <v>195</v>
      </c>
      <c r="J125" s="12">
        <f t="shared" si="2"/>
        <v>1053</v>
      </c>
      <c r="K125" s="13">
        <f t="shared" si="3"/>
        <v>6903</v>
      </c>
    </row>
    <row r="126" spans="1:11" ht="17.25" x14ac:dyDescent="0.3">
      <c r="A126" s="6">
        <v>43594</v>
      </c>
      <c r="B126" s="6">
        <v>43717</v>
      </c>
      <c r="C126" s="18">
        <v>1125</v>
      </c>
      <c r="D126" s="16" t="s">
        <v>121</v>
      </c>
      <c r="E126" s="9">
        <v>32</v>
      </c>
      <c r="F126" s="10" t="s">
        <v>20</v>
      </c>
      <c r="G126" s="10">
        <f>SUMIF([1]!Table3[Código Institucional],'[1]ENTRADA 6-05-2022'!C126:C323,[1]!Table3[Cantidad])</f>
        <v>61</v>
      </c>
      <c r="H126" s="10">
        <f>SUMIF([1]!Table2[Código Institucional],'[1]ENTRADA 6-05-2022'!C126:C323,[1]!Table2[Cantidad])</f>
        <v>17</v>
      </c>
      <c r="I126" s="11">
        <v>288.14</v>
      </c>
      <c r="J126" s="12">
        <f t="shared" si="2"/>
        <v>1659.6863999999998</v>
      </c>
      <c r="K126" s="13">
        <f t="shared" si="3"/>
        <v>10880.1664</v>
      </c>
    </row>
    <row r="127" spans="1:11" ht="17.25" x14ac:dyDescent="0.3">
      <c r="A127" s="6">
        <v>43594</v>
      </c>
      <c r="B127" s="6">
        <v>43717</v>
      </c>
      <c r="C127" s="18">
        <v>1126</v>
      </c>
      <c r="D127" s="16" t="s">
        <v>122</v>
      </c>
      <c r="E127" s="9">
        <v>53</v>
      </c>
      <c r="F127" s="10" t="s">
        <v>20</v>
      </c>
      <c r="G127" s="10">
        <f>SUMIF([1]!Table3[Código Institucional],'[1]ENTRADA 6-05-2022'!C127:C324,[1]!Table3[Cantidad])</f>
        <v>29</v>
      </c>
      <c r="H127" s="10">
        <f>SUMIF([1]!Table2[Código Institucional],'[1]ENTRADA 6-05-2022'!C127:C324,[1]!Table2[Cantidad])</f>
        <v>6</v>
      </c>
      <c r="I127" s="11">
        <v>330.1</v>
      </c>
      <c r="J127" s="12">
        <f t="shared" si="2"/>
        <v>3149.154</v>
      </c>
      <c r="K127" s="13">
        <f t="shared" si="3"/>
        <v>20644.454000000002</v>
      </c>
    </row>
    <row r="128" spans="1:11" ht="17.25" x14ac:dyDescent="0.3">
      <c r="A128" s="6">
        <v>43594</v>
      </c>
      <c r="B128" s="6">
        <v>44687</v>
      </c>
      <c r="C128" s="18">
        <v>1127</v>
      </c>
      <c r="D128" s="16" t="s">
        <v>123</v>
      </c>
      <c r="E128" s="9">
        <f>15+12-1</f>
        <v>26</v>
      </c>
      <c r="F128" s="10" t="s">
        <v>20</v>
      </c>
      <c r="G128" s="10">
        <f>SUMIF([1]!Table3[Código Institucional],'[1]ENTRADA 6-05-2022'!C128:C325,[1]!Table3[Cantidad])</f>
        <v>18</v>
      </c>
      <c r="H128" s="10">
        <f>SUMIF([1]!Table2[Código Institucional],'[1]ENTRADA 6-05-2022'!C128:C325,[1]!Table2[Cantidad])</f>
        <v>3</v>
      </c>
      <c r="I128" s="11">
        <v>778</v>
      </c>
      <c r="J128" s="12">
        <f t="shared" si="2"/>
        <v>3641.04</v>
      </c>
      <c r="K128" s="13">
        <f t="shared" si="3"/>
        <v>23869.040000000001</v>
      </c>
    </row>
    <row r="129" spans="1:11" ht="17.25" x14ac:dyDescent="0.3">
      <c r="A129" s="6">
        <v>43594</v>
      </c>
      <c r="B129" s="6">
        <v>43717</v>
      </c>
      <c r="C129" s="7">
        <v>1128</v>
      </c>
      <c r="D129" s="8" t="s">
        <v>124</v>
      </c>
      <c r="E129" s="9">
        <v>40</v>
      </c>
      <c r="F129" s="10" t="s">
        <v>20</v>
      </c>
      <c r="G129" s="10">
        <f>SUMIF([1]!Table3[Código Institucional],'[1]ENTRADA 6-05-2022'!C129:C326,[1]!Table3[Cantidad])</f>
        <v>130</v>
      </c>
      <c r="H129" s="10">
        <f>SUMIF([1]!Table2[Código Institucional],'[1]ENTRADA 6-05-2022'!C129:C326,[1]!Table2[Cantidad])</f>
        <v>13</v>
      </c>
      <c r="I129" s="11">
        <v>7.48</v>
      </c>
      <c r="J129" s="12">
        <f t="shared" si="2"/>
        <v>53.856000000000002</v>
      </c>
      <c r="K129" s="13">
        <f t="shared" si="3"/>
        <v>353.05600000000004</v>
      </c>
    </row>
    <row r="130" spans="1:11" ht="17.25" x14ac:dyDescent="0.3">
      <c r="A130" s="6">
        <v>43594</v>
      </c>
      <c r="B130" s="6">
        <v>43717</v>
      </c>
      <c r="C130" s="7">
        <v>1129</v>
      </c>
      <c r="D130" s="8" t="s">
        <v>125</v>
      </c>
      <c r="E130" s="9">
        <v>36</v>
      </c>
      <c r="F130" s="10" t="s">
        <v>20</v>
      </c>
      <c r="G130" s="10">
        <f>SUMIF([1]!Table3[Código Institucional],'[1]ENTRADA 6-05-2022'!C130:C327,[1]!Table3[Cantidad])</f>
        <v>50</v>
      </c>
      <c r="H130" s="10">
        <f>SUMIF([1]!Table2[Código Institucional],'[1]ENTRADA 6-05-2022'!C130:C327,[1]!Table2[Cantidad])</f>
        <v>3</v>
      </c>
      <c r="I130" s="11">
        <v>9.65</v>
      </c>
      <c r="J130" s="12">
        <f t="shared" si="2"/>
        <v>62.532000000000004</v>
      </c>
      <c r="K130" s="13">
        <f t="shared" si="3"/>
        <v>409.93200000000002</v>
      </c>
    </row>
    <row r="131" spans="1:11" ht="17.25" x14ac:dyDescent="0.3">
      <c r="A131" s="6">
        <v>43594</v>
      </c>
      <c r="B131" s="6">
        <v>43717</v>
      </c>
      <c r="C131" s="7">
        <v>1130</v>
      </c>
      <c r="D131" s="8" t="s">
        <v>126</v>
      </c>
      <c r="E131" s="9">
        <f>Table167910[[#This Row],[Qty Entrada]]-Table167910[[#This Row],[Qty Salida]]</f>
        <v>152</v>
      </c>
      <c r="F131" s="10" t="s">
        <v>20</v>
      </c>
      <c r="G131" s="10">
        <f>SUMIF([1]!Table3[Código Institucional],'[1]ENTRADA 6-05-2022'!C131:C328,[1]!Table3[Cantidad])</f>
        <v>152</v>
      </c>
      <c r="H131" s="10">
        <f>SUMIF([1]!Table2[Código Institucional],'[1]ENTRADA 6-05-2022'!C131:C328,[1]!Table2[Cantidad])</f>
        <v>0</v>
      </c>
      <c r="I131" s="11">
        <v>10.15</v>
      </c>
      <c r="J131" s="12">
        <f t="shared" si="2"/>
        <v>277.70400000000001</v>
      </c>
      <c r="K131" s="13">
        <f t="shared" si="3"/>
        <v>1820.5039999999999</v>
      </c>
    </row>
    <row r="132" spans="1:11" ht="17.25" x14ac:dyDescent="0.3">
      <c r="A132" s="6">
        <v>43594</v>
      </c>
      <c r="B132" s="6">
        <v>43717</v>
      </c>
      <c r="C132" s="7">
        <v>1131</v>
      </c>
      <c r="D132" s="8" t="s">
        <v>127</v>
      </c>
      <c r="E132" s="9">
        <f>Table167910[[#This Row],[Qty Entrada]]-Table167910[[#This Row],[Qty Salida]]</f>
        <v>59</v>
      </c>
      <c r="F132" s="10" t="s">
        <v>20</v>
      </c>
      <c r="G132" s="10">
        <f>SUMIF([1]!Table3[Código Institucional],'[1]ENTRADA 6-05-2022'!C132:C329,[1]!Table3[Cantidad])</f>
        <v>59</v>
      </c>
      <c r="H132" s="10">
        <f>SUMIF([1]!Table2[Código Institucional],'[1]ENTRADA 6-05-2022'!C132:C329,[1]!Table2[Cantidad])</f>
        <v>0</v>
      </c>
      <c r="I132" s="11">
        <v>12.5</v>
      </c>
      <c r="J132" s="12">
        <f t="shared" si="2"/>
        <v>132.75</v>
      </c>
      <c r="K132" s="13">
        <f t="shared" si="3"/>
        <v>870.25</v>
      </c>
    </row>
    <row r="133" spans="1:11" ht="17.25" x14ac:dyDescent="0.3">
      <c r="A133" s="6">
        <v>43594</v>
      </c>
      <c r="B133" s="6">
        <v>43717</v>
      </c>
      <c r="C133" s="7">
        <v>1132</v>
      </c>
      <c r="D133" s="8" t="s">
        <v>128</v>
      </c>
      <c r="E133" s="9">
        <f>Table167910[[#This Row],[Qty Entrada]]-Table167910[[#This Row],[Qty Salida]]</f>
        <v>132</v>
      </c>
      <c r="F133" s="10" t="s">
        <v>20</v>
      </c>
      <c r="G133" s="10">
        <f>SUMIF([1]!Table3[Código Institucional],'[1]ENTRADA 6-05-2022'!C133:C330,[1]!Table3[Cantidad])</f>
        <v>142</v>
      </c>
      <c r="H133" s="10">
        <f>SUMIF([1]!Table2[Código Institucional],'[1]ENTRADA 6-05-2022'!C133:C330,[1]!Table2[Cantidad])</f>
        <v>10</v>
      </c>
      <c r="I133" s="11">
        <v>15</v>
      </c>
      <c r="J133" s="12">
        <f t="shared" si="2"/>
        <v>356.4</v>
      </c>
      <c r="K133" s="13">
        <f t="shared" si="3"/>
        <v>2336.4</v>
      </c>
    </row>
    <row r="134" spans="1:11" ht="17.25" x14ac:dyDescent="0.3">
      <c r="A134" s="6">
        <v>44680</v>
      </c>
      <c r="B134" s="6">
        <v>44687</v>
      </c>
      <c r="C134" s="7">
        <v>1133</v>
      </c>
      <c r="D134" s="8" t="s">
        <v>129</v>
      </c>
      <c r="E134" s="9">
        <f>2+6-1-1-1</f>
        <v>5</v>
      </c>
      <c r="F134" s="19" t="s">
        <v>20</v>
      </c>
      <c r="G134" s="10">
        <f>SUMIF([1]!Table3[Código Institucional],'[1]ENTRADA 6-05-2022'!C134:C331,[1]!Table3[Cantidad])</f>
        <v>5</v>
      </c>
      <c r="H134" s="10">
        <f>SUMIF([1]!Table2[Código Institucional],'[1]ENTRADA 6-05-2022'!C134:C331,[1]!Table2[Cantidad])</f>
        <v>1</v>
      </c>
      <c r="I134" s="20">
        <v>98</v>
      </c>
      <c r="J134" s="12">
        <f t="shared" si="2"/>
        <v>88.2</v>
      </c>
      <c r="K134" s="13">
        <f t="shared" si="3"/>
        <v>578.20000000000005</v>
      </c>
    </row>
    <row r="135" spans="1:11" ht="17.25" x14ac:dyDescent="0.3">
      <c r="A135" s="6">
        <v>43594</v>
      </c>
      <c r="B135" s="6">
        <v>43717</v>
      </c>
      <c r="C135" s="7">
        <v>1134</v>
      </c>
      <c r="D135" s="8" t="s">
        <v>130</v>
      </c>
      <c r="E135" s="9">
        <f>Table167910[[#This Row],[Qty Entrada]]-Table167910[[#This Row],[Qty Salida]]</f>
        <v>9</v>
      </c>
      <c r="F135" s="19" t="s">
        <v>20</v>
      </c>
      <c r="G135" s="10">
        <f>SUMIF([1]!Table3[Código Institucional],'[1]ENTRADA 6-05-2022'!C135:C332,[1]!Table3[Cantidad])</f>
        <v>10</v>
      </c>
      <c r="H135" s="10">
        <f>SUMIF([1]!Table2[Código Institucional],'[1]ENTRADA 6-05-2022'!C135:C332,[1]!Table2[Cantidad])</f>
        <v>1</v>
      </c>
      <c r="I135" s="20">
        <v>210</v>
      </c>
      <c r="J135" s="12">
        <f t="shared" si="2"/>
        <v>340.2</v>
      </c>
      <c r="K135" s="13">
        <f t="shared" si="3"/>
        <v>2230.1999999999998</v>
      </c>
    </row>
    <row r="136" spans="1:11" ht="17.25" x14ac:dyDescent="0.3">
      <c r="A136" s="6">
        <v>44680</v>
      </c>
      <c r="B136" s="6">
        <v>44687</v>
      </c>
      <c r="C136" s="7">
        <v>1140</v>
      </c>
      <c r="D136" s="8" t="s">
        <v>131</v>
      </c>
      <c r="E136" s="9">
        <f>2+2-1</f>
        <v>3</v>
      </c>
      <c r="F136" s="19" t="s">
        <v>20</v>
      </c>
      <c r="G136" s="10">
        <f>SUMIF([1]!Table3[Código Institucional],'[1]ENTRADA 6-05-2022'!C136:C338,[1]!Table3[Cantidad])</f>
        <v>5</v>
      </c>
      <c r="H136" s="10">
        <f>SUMIF([1]!Table2[Código Institucional],'[1]ENTRADA 6-05-2022'!C136:C338,[1]!Table2[Cantidad])</f>
        <v>3</v>
      </c>
      <c r="I136" s="20">
        <v>338</v>
      </c>
      <c r="J136" s="12">
        <f t="shared" ref="J136:J199" si="4">I136*18%*E136</f>
        <v>182.51999999999998</v>
      </c>
      <c r="K136" s="13">
        <f t="shared" ref="K136:K199" si="5">E136*I136+J136</f>
        <v>1196.52</v>
      </c>
    </row>
    <row r="137" spans="1:11" ht="17.25" x14ac:dyDescent="0.3">
      <c r="A137" s="6">
        <v>43594</v>
      </c>
      <c r="B137" s="6">
        <v>44315</v>
      </c>
      <c r="C137" s="7">
        <v>1141</v>
      </c>
      <c r="D137" s="8" t="s">
        <v>132</v>
      </c>
      <c r="E137" s="9">
        <v>23</v>
      </c>
      <c r="F137" s="19" t="s">
        <v>20</v>
      </c>
      <c r="G137" s="10">
        <f>SUMIF([1]!Table3[Código Institucional],'[1]ENTRADA 6-05-2022'!C137:C339,[1]!Table3[Cantidad])</f>
        <v>20</v>
      </c>
      <c r="H137" s="10">
        <f>SUMIF([1]!Table2[Código Institucional],'[1]ENTRADA 6-05-2022'!C137:C339,[1]!Table2[Cantidad])</f>
        <v>4</v>
      </c>
      <c r="I137" s="20">
        <v>14.61</v>
      </c>
      <c r="J137" s="12">
        <f t="shared" si="4"/>
        <v>60.485399999999998</v>
      </c>
      <c r="K137" s="13">
        <f t="shared" si="5"/>
        <v>396.5154</v>
      </c>
    </row>
    <row r="138" spans="1:11" ht="17.25" x14ac:dyDescent="0.3">
      <c r="A138" s="6">
        <v>43594</v>
      </c>
      <c r="B138" s="6">
        <v>43717</v>
      </c>
      <c r="C138" s="7">
        <v>1142</v>
      </c>
      <c r="D138" s="8" t="s">
        <v>133</v>
      </c>
      <c r="E138" s="9">
        <v>2</v>
      </c>
      <c r="F138" s="19" t="s">
        <v>20</v>
      </c>
      <c r="G138" s="10">
        <f>SUMIF([1]!Table3[Código Institucional],'[1]ENTRADA 6-05-2022'!C138:C340,[1]!Table3[Cantidad])</f>
        <v>5</v>
      </c>
      <c r="H138" s="10">
        <f>SUMIF([1]!Table2[Código Institucional],'[1]ENTRADA 6-05-2022'!C138:C340,[1]!Table2[Cantidad])</f>
        <v>1</v>
      </c>
      <c r="I138" s="20">
        <v>396</v>
      </c>
      <c r="J138" s="12">
        <f t="shared" si="4"/>
        <v>142.56</v>
      </c>
      <c r="K138" s="13">
        <f t="shared" si="5"/>
        <v>934.56</v>
      </c>
    </row>
    <row r="139" spans="1:11" ht="17.25" x14ac:dyDescent="0.3">
      <c r="A139" s="6">
        <v>44680</v>
      </c>
      <c r="B139" s="6">
        <v>44687</v>
      </c>
      <c r="C139" s="7">
        <v>1143</v>
      </c>
      <c r="D139" s="8" t="s">
        <v>134</v>
      </c>
      <c r="E139" s="9">
        <v>2</v>
      </c>
      <c r="F139" s="19" t="s">
        <v>20</v>
      </c>
      <c r="G139" s="10">
        <v>2</v>
      </c>
      <c r="H139" s="10">
        <v>0</v>
      </c>
      <c r="I139" s="20">
        <v>985</v>
      </c>
      <c r="J139" s="12">
        <f t="shared" si="4"/>
        <v>354.59999999999997</v>
      </c>
      <c r="K139" s="13">
        <f t="shared" si="5"/>
        <v>2324.6</v>
      </c>
    </row>
    <row r="140" spans="1:11" ht="17.25" x14ac:dyDescent="0.3">
      <c r="A140" s="6">
        <v>44680</v>
      </c>
      <c r="B140" s="6">
        <v>44687</v>
      </c>
      <c r="C140" s="7">
        <v>1144</v>
      </c>
      <c r="D140" s="8" t="s">
        <v>135</v>
      </c>
      <c r="E140" s="9">
        <f>2+2</f>
        <v>4</v>
      </c>
      <c r="F140" s="19" t="s">
        <v>20</v>
      </c>
      <c r="G140" s="10">
        <f>SUMIF([1]!Table3[Código Institucional],'[1]ENTRADA 6-05-2022'!C140:C342,[1]!Table3[Cantidad])</f>
        <v>5</v>
      </c>
      <c r="H140" s="10">
        <f>SUMIF([1]!Table2[Código Institucional],'[1]ENTRADA 6-05-2022'!C140:C342,[1]!Table2[Cantidad])</f>
        <v>2</v>
      </c>
      <c r="I140" s="20">
        <v>1450</v>
      </c>
      <c r="J140" s="12">
        <f t="shared" si="4"/>
        <v>1044</v>
      </c>
      <c r="K140" s="13">
        <f t="shared" si="5"/>
        <v>6844</v>
      </c>
    </row>
    <row r="141" spans="1:11" ht="17.25" x14ac:dyDescent="0.3">
      <c r="A141" s="6">
        <v>43594</v>
      </c>
      <c r="B141" s="6">
        <v>43717</v>
      </c>
      <c r="C141" s="7">
        <v>1145</v>
      </c>
      <c r="D141" s="8" t="s">
        <v>136</v>
      </c>
      <c r="E141" s="9">
        <v>3</v>
      </c>
      <c r="F141" s="19" t="s">
        <v>20</v>
      </c>
      <c r="G141" s="10">
        <f>SUMIF([1]!Table3[Código Institucional],'[1]ENTRADA 6-05-2022'!C141:C343,[1]!Table3[Cantidad])</f>
        <v>5</v>
      </c>
      <c r="H141" s="10">
        <f>SUMIF([1]!Table2[Código Institucional],'[1]ENTRADA 6-05-2022'!C141:C343,[1]!Table2[Cantidad])</f>
        <v>4</v>
      </c>
      <c r="I141" s="20">
        <v>63.59</v>
      </c>
      <c r="J141" s="12">
        <f t="shared" si="4"/>
        <v>34.3386</v>
      </c>
      <c r="K141" s="13">
        <f t="shared" si="5"/>
        <v>225.10860000000002</v>
      </c>
    </row>
    <row r="142" spans="1:11" ht="17.25" x14ac:dyDescent="0.3">
      <c r="A142" s="6">
        <v>44680</v>
      </c>
      <c r="B142" s="6">
        <v>44687</v>
      </c>
      <c r="C142" s="7">
        <v>1146</v>
      </c>
      <c r="D142" s="21" t="s">
        <v>137</v>
      </c>
      <c r="E142" s="9">
        <f>0+4</f>
        <v>4</v>
      </c>
      <c r="F142" s="19" t="s">
        <v>20</v>
      </c>
      <c r="G142" s="10">
        <v>4</v>
      </c>
      <c r="H142" s="10">
        <v>0</v>
      </c>
      <c r="I142" s="20">
        <v>110</v>
      </c>
      <c r="J142" s="12">
        <f t="shared" si="4"/>
        <v>79.2</v>
      </c>
      <c r="K142" s="13">
        <f t="shared" si="5"/>
        <v>519.20000000000005</v>
      </c>
    </row>
    <row r="143" spans="1:11" ht="17.25" x14ac:dyDescent="0.3">
      <c r="A143" s="6">
        <v>43594</v>
      </c>
      <c r="B143" s="6">
        <v>43717</v>
      </c>
      <c r="C143" s="7">
        <v>1147</v>
      </c>
      <c r="D143" s="21" t="s">
        <v>138</v>
      </c>
      <c r="E143" s="9">
        <f>Table167910[[#This Row],[Qty Entrada]]-Table167910[[#This Row],[Qty Salida]]</f>
        <v>1</v>
      </c>
      <c r="F143" s="19" t="s">
        <v>20</v>
      </c>
      <c r="G143" s="10">
        <f>SUMIF([1]!Table3[Código Institucional],'[1]ENTRADA 6-05-2022'!C143:C345,[1]!Table3[Cantidad])</f>
        <v>1</v>
      </c>
      <c r="H143" s="10">
        <f>SUMIF([1]!Table2[Código Institucional],'[1]ENTRADA 6-05-2022'!C143:C345,[1]!Table2[Cantidad])</f>
        <v>0</v>
      </c>
      <c r="I143" s="20">
        <v>38</v>
      </c>
      <c r="J143" s="12">
        <f t="shared" si="4"/>
        <v>6.84</v>
      </c>
      <c r="K143" s="13">
        <f t="shared" si="5"/>
        <v>44.84</v>
      </c>
    </row>
    <row r="144" spans="1:11" ht="17.25" x14ac:dyDescent="0.3">
      <c r="A144" s="6">
        <v>44680</v>
      </c>
      <c r="B144" s="6">
        <v>44687</v>
      </c>
      <c r="C144" s="7">
        <v>1148</v>
      </c>
      <c r="D144" s="21" t="s">
        <v>139</v>
      </c>
      <c r="E144" s="9">
        <f>1+3</f>
        <v>4</v>
      </c>
      <c r="F144" s="19" t="s">
        <v>20</v>
      </c>
      <c r="G144" s="10">
        <v>4</v>
      </c>
      <c r="H144" s="10">
        <f>SUMIF([1]!Table2[Código Institucional],'[1]ENTRADA 6-05-2022'!C144:C346,[1]!Table2[Cantidad])</f>
        <v>0</v>
      </c>
      <c r="I144" s="20">
        <v>825</v>
      </c>
      <c r="J144" s="12" t="s">
        <v>140</v>
      </c>
      <c r="K144" s="13">
        <f>+Table167910[[#This Row],[Valor]]*Table167910[[#This Row],[Qty Entrada]]</f>
        <v>3300</v>
      </c>
    </row>
    <row r="145" spans="1:11" ht="17.25" x14ac:dyDescent="0.3">
      <c r="A145" s="6">
        <v>43594</v>
      </c>
      <c r="B145" s="6">
        <v>44315</v>
      </c>
      <c r="C145" s="7">
        <v>1150</v>
      </c>
      <c r="D145" s="8" t="s">
        <v>141</v>
      </c>
      <c r="E145" s="9">
        <v>1</v>
      </c>
      <c r="F145" s="19" t="s">
        <v>20</v>
      </c>
      <c r="G145" s="10">
        <f>SUMIF([1]!Table3[Código Institucional],'[1]ENTRADA 6-05-2022'!C145:C348,[1]!Table3[Cantidad])</f>
        <v>33</v>
      </c>
      <c r="H145" s="10">
        <f>SUMIF([1]!Table2[Código Institucional],'[1]ENTRADA 6-05-2022'!C145:C348,[1]!Table2[Cantidad])</f>
        <v>23</v>
      </c>
      <c r="I145" s="20">
        <v>375</v>
      </c>
      <c r="J145" s="12">
        <f t="shared" si="4"/>
        <v>67.5</v>
      </c>
      <c r="K145" s="13">
        <f t="shared" si="5"/>
        <v>442.5</v>
      </c>
    </row>
    <row r="146" spans="1:11" ht="17.25" hidden="1" customHeight="1" x14ac:dyDescent="0.3">
      <c r="A146" s="6">
        <v>43594</v>
      </c>
      <c r="B146" s="6">
        <v>43717</v>
      </c>
      <c r="C146" s="7">
        <v>1151</v>
      </c>
      <c r="D146" s="8" t="s">
        <v>142</v>
      </c>
      <c r="E146" s="9">
        <f>Table167910[[#This Row],[Qty Entrada]]-Table167910[[#This Row],[Qty Salida]]</f>
        <v>0</v>
      </c>
      <c r="F146" s="19" t="s">
        <v>20</v>
      </c>
      <c r="G146" s="10">
        <f>SUMIF([1]!Table3[Código Institucional],'[1]ENTRADA 6-05-2022'!C146:C349,[1]!Table3[Cantidad])</f>
        <v>0</v>
      </c>
      <c r="H146" s="10">
        <f>SUMIF([1]!Table2[Código Institucional],'[1]ENTRADA 6-05-2022'!C146:C349,[1]!Table2[Cantidad])</f>
        <v>0</v>
      </c>
      <c r="I146" s="20">
        <v>260</v>
      </c>
      <c r="J146" s="12">
        <f t="shared" si="4"/>
        <v>0</v>
      </c>
      <c r="K146" s="13">
        <f t="shared" si="5"/>
        <v>0</v>
      </c>
    </row>
    <row r="147" spans="1:11" ht="17.25" hidden="1" x14ac:dyDescent="0.3">
      <c r="A147" s="6">
        <v>43594</v>
      </c>
      <c r="B147" s="6">
        <v>43717</v>
      </c>
      <c r="C147" s="7">
        <v>1152</v>
      </c>
      <c r="D147" s="8" t="s">
        <v>143</v>
      </c>
      <c r="E147" s="9">
        <f>4-1-1</f>
        <v>2</v>
      </c>
      <c r="F147" s="19" t="s">
        <v>20</v>
      </c>
      <c r="G147" s="10">
        <f>SUMIF([1]!Table3[Código Institucional],'[1]ENTRADA 6-05-2022'!C147:C350,[1]!Table3[Cantidad])</f>
        <v>5</v>
      </c>
      <c r="H147" s="10">
        <v>2</v>
      </c>
      <c r="I147" s="20">
        <v>169</v>
      </c>
      <c r="J147" s="12">
        <f t="shared" si="4"/>
        <v>60.839999999999996</v>
      </c>
      <c r="K147" s="13">
        <f t="shared" si="5"/>
        <v>398.84</v>
      </c>
    </row>
    <row r="148" spans="1:11" ht="17.25" x14ac:dyDescent="0.3">
      <c r="A148" s="6">
        <v>43594</v>
      </c>
      <c r="B148" s="6">
        <v>44687</v>
      </c>
      <c r="C148" s="7">
        <v>1153</v>
      </c>
      <c r="D148" s="8" t="s">
        <v>144</v>
      </c>
      <c r="E148" s="9">
        <f>3+3-1</f>
        <v>5</v>
      </c>
      <c r="F148" s="19" t="s">
        <v>20</v>
      </c>
      <c r="G148" s="10">
        <f>SUMIF([1]!Table3[Código Institucional],'[1]ENTRADA 6-05-2022'!C148:C351,[1]!Table3[Cantidad])</f>
        <v>9</v>
      </c>
      <c r="H148" s="10">
        <f>SUMIF([1]!Table2[Código Institucional],'[1]ENTRADA 6-05-2022'!C148:C351,[1]!Table2[Cantidad])</f>
        <v>4</v>
      </c>
      <c r="I148" s="20">
        <v>240</v>
      </c>
      <c r="J148" s="12">
        <f t="shared" si="4"/>
        <v>215.99999999999997</v>
      </c>
      <c r="K148" s="13">
        <f t="shared" si="5"/>
        <v>1416</v>
      </c>
    </row>
    <row r="149" spans="1:11" ht="17.25" x14ac:dyDescent="0.3">
      <c r="A149" s="6">
        <v>43594</v>
      </c>
      <c r="B149" s="6">
        <v>44687</v>
      </c>
      <c r="C149" s="7">
        <v>1154</v>
      </c>
      <c r="D149" s="21" t="s">
        <v>145</v>
      </c>
      <c r="E149" s="9">
        <f>3+3</f>
        <v>6</v>
      </c>
      <c r="F149" s="19" t="s">
        <v>20</v>
      </c>
      <c r="G149" s="10">
        <f>SUMIF([1]!Table3[Código Institucional],'[1]ENTRADA 6-05-2022'!C149:C352,[1]!Table3[Cantidad])</f>
        <v>4</v>
      </c>
      <c r="H149" s="10">
        <f>SUMIF([1]!Table2[Código Institucional],'[1]ENTRADA 6-05-2022'!C149:C352,[1]!Table2[Cantidad])</f>
        <v>1</v>
      </c>
      <c r="I149" s="20">
        <v>264</v>
      </c>
      <c r="J149" s="12">
        <f t="shared" si="4"/>
        <v>285.12</v>
      </c>
      <c r="K149" s="13">
        <f t="shared" si="5"/>
        <v>1869.12</v>
      </c>
    </row>
    <row r="150" spans="1:11" ht="17.25" x14ac:dyDescent="0.3">
      <c r="A150" s="6">
        <v>43594</v>
      </c>
      <c r="B150" s="6">
        <v>44315</v>
      </c>
      <c r="C150" s="7">
        <v>1155</v>
      </c>
      <c r="D150" s="8" t="s">
        <v>146</v>
      </c>
      <c r="E150" s="9">
        <v>2</v>
      </c>
      <c r="F150" s="19" t="s">
        <v>20</v>
      </c>
      <c r="G150" s="10">
        <f>SUMIF([1]!Table3[Código Institucional],'[1]ENTRADA 6-05-2022'!C150:C353,[1]!Table3[Cantidad])</f>
        <v>15</v>
      </c>
      <c r="H150" s="10">
        <f>SUMIF([1]!Table2[Código Institucional],'[1]ENTRADA 6-05-2022'!C150:C353,[1]!Table2[Cantidad])</f>
        <v>11</v>
      </c>
      <c r="I150" s="20">
        <v>385</v>
      </c>
      <c r="J150" s="12">
        <f t="shared" si="4"/>
        <v>138.6</v>
      </c>
      <c r="K150" s="13">
        <f t="shared" si="5"/>
        <v>908.6</v>
      </c>
    </row>
    <row r="151" spans="1:11" ht="17.25" x14ac:dyDescent="0.3">
      <c r="A151" s="6">
        <v>44680</v>
      </c>
      <c r="B151" s="6">
        <v>44687</v>
      </c>
      <c r="C151" s="7">
        <v>1156</v>
      </c>
      <c r="D151" s="8" t="s">
        <v>147</v>
      </c>
      <c r="E151" s="9">
        <v>21</v>
      </c>
      <c r="F151" s="19" t="s">
        <v>25</v>
      </c>
      <c r="G151" s="10">
        <v>10</v>
      </c>
      <c r="H151" s="10">
        <v>12</v>
      </c>
      <c r="I151" s="20">
        <v>290</v>
      </c>
      <c r="J151" s="12">
        <v>0</v>
      </c>
      <c r="K151" s="13">
        <f>E151*I151+J151</f>
        <v>6090</v>
      </c>
    </row>
    <row r="152" spans="1:11" ht="17.25" hidden="1" customHeight="1" x14ac:dyDescent="0.3">
      <c r="A152" s="6">
        <v>44049</v>
      </c>
      <c r="B152" s="6">
        <v>44110</v>
      </c>
      <c r="C152" s="7">
        <v>1157</v>
      </c>
      <c r="D152" s="8" t="s">
        <v>148</v>
      </c>
      <c r="E152" s="9">
        <f>Table167910[[#This Row],[Qty Entrada]]-Table167910[[#This Row],[Qty Salida]]</f>
        <v>0</v>
      </c>
      <c r="F152" s="19" t="s">
        <v>20</v>
      </c>
      <c r="G152" s="10">
        <f>SUMIF([1]!Table3[Código Institucional],'[1]ENTRADA 6-05-2022'!C152:C355,[1]!Table3[Cantidad])</f>
        <v>21</v>
      </c>
      <c r="H152" s="10">
        <f>SUMIF([1]!Table2[Código Institucional],'[1]ENTRADA 6-05-2022'!C152:C355,[1]!Table2[Cantidad])</f>
        <v>21</v>
      </c>
      <c r="I152" s="20">
        <v>550</v>
      </c>
      <c r="J152" s="12">
        <f t="shared" si="4"/>
        <v>0</v>
      </c>
      <c r="K152" s="13">
        <f t="shared" si="5"/>
        <v>0</v>
      </c>
    </row>
    <row r="153" spans="1:11" ht="17.25" x14ac:dyDescent="0.3">
      <c r="A153" s="6">
        <v>44049</v>
      </c>
      <c r="B153" s="6">
        <v>44315</v>
      </c>
      <c r="C153" s="7">
        <v>1158</v>
      </c>
      <c r="D153" s="8" t="s">
        <v>149</v>
      </c>
      <c r="E153" s="9">
        <v>4</v>
      </c>
      <c r="F153" s="19" t="s">
        <v>150</v>
      </c>
      <c r="G153" s="10">
        <f>SUMIF([1]!Table3[Código Institucional],'[1]ENTRADA 6-05-2022'!C153:C356,[1]!Table3[Cantidad])</f>
        <v>13</v>
      </c>
      <c r="H153" s="10">
        <f>SUMIF([1]!Table2[Código Institucional],'[1]ENTRADA 6-05-2022'!C153:C356,[1]!Table2[Cantidad])</f>
        <v>10</v>
      </c>
      <c r="I153" s="20">
        <v>550</v>
      </c>
      <c r="J153" s="12">
        <f t="shared" si="4"/>
        <v>396</v>
      </c>
      <c r="K153" s="13">
        <f t="shared" si="5"/>
        <v>2596</v>
      </c>
    </row>
    <row r="154" spans="1:11" ht="17.25" hidden="1" x14ac:dyDescent="0.3">
      <c r="A154" s="6">
        <v>44049</v>
      </c>
      <c r="B154" s="6">
        <v>44110</v>
      </c>
      <c r="C154" s="7">
        <v>1159</v>
      </c>
      <c r="D154" s="8" t="s">
        <v>151</v>
      </c>
      <c r="E154" s="9">
        <f>Table167910[[#This Row],[Qty Entrada]]-Table167910[[#This Row],[Qty Salida]]</f>
        <v>0</v>
      </c>
      <c r="F154" s="19" t="s">
        <v>25</v>
      </c>
      <c r="G154" s="10">
        <f>SUMIF([1]!Table3[Código Institucional],'[1]ENTRADA 6-05-2022'!C154:C357,[1]!Table3[Cantidad])</f>
        <v>4</v>
      </c>
      <c r="H154" s="10">
        <f>SUMIF([1]!Table2[Código Institucional],'[1]ENTRADA 6-05-2022'!C154:C357,[1]!Table2[Cantidad])</f>
        <v>4</v>
      </c>
      <c r="I154" s="20">
        <v>42500</v>
      </c>
      <c r="J154" s="12">
        <f t="shared" si="4"/>
        <v>0</v>
      </c>
      <c r="K154" s="13">
        <f t="shared" si="5"/>
        <v>0</v>
      </c>
    </row>
    <row r="155" spans="1:11" ht="17.25" hidden="1" x14ac:dyDescent="0.3">
      <c r="A155" s="21" t="s">
        <v>152</v>
      </c>
      <c r="B155" s="21" t="s">
        <v>153</v>
      </c>
      <c r="C155" s="7">
        <v>1160</v>
      </c>
      <c r="D155" s="8" t="s">
        <v>154</v>
      </c>
      <c r="E155" s="9">
        <f>Table167910[[#This Row],[Qty Entrada]]-Table167910[[#This Row],[Qty Salida]]</f>
        <v>0</v>
      </c>
      <c r="F155" s="19" t="s">
        <v>20</v>
      </c>
      <c r="G155" s="10">
        <f>SUMIF([1]!Table3[Código Institucional],'[1]ENTRADA 6-05-2022'!C155:C358,[1]!Table3[Cantidad])</f>
        <v>4</v>
      </c>
      <c r="H155" s="10">
        <f>SUMIF([1]!Table2[Código Institucional],'[1]ENTRADA 6-05-2022'!C155:C358,[1]!Table2[Cantidad])</f>
        <v>4</v>
      </c>
      <c r="I155" s="20"/>
      <c r="J155" s="12">
        <f t="shared" si="4"/>
        <v>0</v>
      </c>
      <c r="K155" s="13">
        <f t="shared" si="5"/>
        <v>0</v>
      </c>
    </row>
    <row r="156" spans="1:11" ht="17.25" x14ac:dyDescent="0.3">
      <c r="A156" s="6">
        <v>44312</v>
      </c>
      <c r="B156" s="6">
        <v>44315</v>
      </c>
      <c r="C156" s="7">
        <v>1161</v>
      </c>
      <c r="D156" s="8" t="s">
        <v>155</v>
      </c>
      <c r="E156" s="9">
        <v>3</v>
      </c>
      <c r="F156" s="19" t="s">
        <v>150</v>
      </c>
      <c r="G156" s="10">
        <f>SUMIF([1]!Table3[Código Institucional],'[1]ENTRADA 6-05-2022'!C156:C359,[1]!Table3[Cantidad])</f>
        <v>6</v>
      </c>
      <c r="H156" s="10">
        <f>SUMIF([1]!Table2[Código Institucional],'[1]ENTRADA 6-05-2022'!C156:C359,[1]!Table2[Cantidad])</f>
        <v>0</v>
      </c>
      <c r="I156" s="20">
        <v>868</v>
      </c>
      <c r="J156" s="12">
        <f t="shared" si="4"/>
        <v>468.71999999999991</v>
      </c>
      <c r="K156" s="13">
        <f t="shared" si="5"/>
        <v>3072.72</v>
      </c>
    </row>
    <row r="157" spans="1:11" ht="17.25" x14ac:dyDescent="0.3">
      <c r="A157" s="21" t="s">
        <v>156</v>
      </c>
      <c r="B157" s="6">
        <v>44687</v>
      </c>
      <c r="C157" s="7">
        <v>2000</v>
      </c>
      <c r="D157" s="8" t="s">
        <v>157</v>
      </c>
      <c r="E157" s="9">
        <f>40+55-20</f>
        <v>75</v>
      </c>
      <c r="F157" s="19" t="s">
        <v>99</v>
      </c>
      <c r="G157" s="10">
        <f>SUMIF([1]!Table3[Código Institucional],'[1]ENTRADA 6-05-2022'!C157:C360,[1]!Table3[Cantidad])</f>
        <v>304</v>
      </c>
      <c r="H157" s="10">
        <f>SUMIF([1]!Table2[Código Institucional],'[1]ENTRADA 6-05-2022'!C157:C360,[1]!Table2[Cantidad])</f>
        <v>264</v>
      </c>
      <c r="I157" s="20">
        <v>239</v>
      </c>
      <c r="J157" s="12">
        <f t="shared" si="4"/>
        <v>3226.4999999999995</v>
      </c>
      <c r="K157" s="13">
        <f t="shared" si="5"/>
        <v>21151.5</v>
      </c>
    </row>
    <row r="158" spans="1:11" ht="17.25" hidden="1" x14ac:dyDescent="0.3">
      <c r="A158" s="21" t="s">
        <v>156</v>
      </c>
      <c r="B158" s="21" t="s">
        <v>158</v>
      </c>
      <c r="C158" s="7">
        <v>2001</v>
      </c>
      <c r="D158" s="8" t="s">
        <v>159</v>
      </c>
      <c r="E158" s="9">
        <f>Table167910[[#This Row],[Qty Entrada]]-Table167910[[#This Row],[Qty Salida]]</f>
        <v>0</v>
      </c>
      <c r="F158" s="19" t="s">
        <v>99</v>
      </c>
      <c r="G158" s="10">
        <f>SUMIF([1]!Table3[Código Institucional],'[1]ENTRADA 6-05-2022'!C158:C361,[1]!Table3[Cantidad])</f>
        <v>0</v>
      </c>
      <c r="H158" s="10">
        <f>SUMIF([1]!Table2[Código Institucional],'[1]ENTRADA 6-05-2022'!C158:C361,[1]!Table2[Cantidad])</f>
        <v>0</v>
      </c>
      <c r="I158" s="20">
        <v>275</v>
      </c>
      <c r="J158" s="12">
        <f t="shared" si="4"/>
        <v>0</v>
      </c>
      <c r="K158" s="13">
        <f t="shared" si="5"/>
        <v>0</v>
      </c>
    </row>
    <row r="159" spans="1:11" ht="17.25" hidden="1" x14ac:dyDescent="0.3">
      <c r="A159" s="21" t="s">
        <v>156</v>
      </c>
      <c r="B159" s="21" t="s">
        <v>158</v>
      </c>
      <c r="C159" s="7">
        <v>2002</v>
      </c>
      <c r="D159" s="8" t="s">
        <v>160</v>
      </c>
      <c r="E159" s="9">
        <f>Table167910[[#This Row],[Qty Entrada]]-Table167910[[#This Row],[Qty Salida]]</f>
        <v>0</v>
      </c>
      <c r="F159" s="19" t="s">
        <v>99</v>
      </c>
      <c r="G159" s="10">
        <f>SUMIF([1]!Table3[Código Institucional],'[1]ENTRADA 6-05-2022'!C159:C362,[1]!Table3[Cantidad])</f>
        <v>15</v>
      </c>
      <c r="H159" s="10">
        <f>SUMIF([1]!Table2[Código Institucional],'[1]ENTRADA 6-05-2022'!C159:C362,[1]!Table2[Cantidad])</f>
        <v>15</v>
      </c>
      <c r="I159" s="20">
        <v>275</v>
      </c>
      <c r="J159" s="12">
        <f t="shared" si="4"/>
        <v>0</v>
      </c>
      <c r="K159" s="13">
        <f t="shared" si="5"/>
        <v>0</v>
      </c>
    </row>
    <row r="160" spans="1:11" ht="17.25" hidden="1" x14ac:dyDescent="0.3">
      <c r="A160" s="21" t="s">
        <v>156</v>
      </c>
      <c r="B160" s="21" t="s">
        <v>158</v>
      </c>
      <c r="C160" s="7">
        <v>2003</v>
      </c>
      <c r="D160" s="8" t="s">
        <v>161</v>
      </c>
      <c r="E160" s="9">
        <f>Table167910[[#This Row],[Qty Entrada]]-Table167910[[#This Row],[Qty Salida]]</f>
        <v>0</v>
      </c>
      <c r="F160" s="19" t="s">
        <v>99</v>
      </c>
      <c r="G160" s="10">
        <f>SUMIF([1]!Table3[Código Institucional],'[1]ENTRADA 6-05-2022'!C160:C363,[1]!Table3[Cantidad])</f>
        <v>16</v>
      </c>
      <c r="H160" s="10">
        <f>SUMIF([1]!Table2[Código Institucional],'[1]ENTRADA 6-05-2022'!C160:C363,[1]!Table2[Cantidad])</f>
        <v>16</v>
      </c>
      <c r="I160" s="20">
        <v>275</v>
      </c>
      <c r="J160" s="12">
        <f t="shared" si="4"/>
        <v>0</v>
      </c>
      <c r="K160" s="13">
        <f t="shared" si="5"/>
        <v>0</v>
      </c>
    </row>
    <row r="161" spans="1:11" ht="17.25" hidden="1" x14ac:dyDescent="0.3">
      <c r="A161" s="21" t="s">
        <v>156</v>
      </c>
      <c r="B161" s="21" t="s">
        <v>158</v>
      </c>
      <c r="C161" s="7">
        <v>2004</v>
      </c>
      <c r="D161" s="8" t="s">
        <v>162</v>
      </c>
      <c r="E161" s="9">
        <f>Table167910[[#This Row],[Qty Entrada]]-Table167910[[#This Row],[Qty Salida]]</f>
        <v>0</v>
      </c>
      <c r="F161" s="19" t="s">
        <v>99</v>
      </c>
      <c r="G161" s="10">
        <f>SUMIF([1]!Table3[Código Institucional],'[1]ENTRADA 6-05-2022'!C161:C364,[1]!Table3[Cantidad])</f>
        <v>0</v>
      </c>
      <c r="H161" s="10">
        <f>SUMIF([1]!Table2[Código Institucional],'[1]ENTRADA 6-05-2022'!C161:C364,[1]!Table2[Cantidad])</f>
        <v>0</v>
      </c>
      <c r="I161" s="20">
        <v>275</v>
      </c>
      <c r="J161" s="12">
        <f t="shared" si="4"/>
        <v>0</v>
      </c>
      <c r="K161" s="13">
        <f t="shared" si="5"/>
        <v>0</v>
      </c>
    </row>
    <row r="162" spans="1:11" ht="17.25" hidden="1" x14ac:dyDescent="0.3">
      <c r="A162" s="21" t="s">
        <v>156</v>
      </c>
      <c r="B162" s="21" t="s">
        <v>158</v>
      </c>
      <c r="C162" s="7">
        <v>2005</v>
      </c>
      <c r="D162" s="8" t="s">
        <v>163</v>
      </c>
      <c r="E162" s="9">
        <f>Table167910[[#This Row],[Qty Entrada]]-Table167910[[#This Row],[Qty Salida]]</f>
        <v>0</v>
      </c>
      <c r="F162" s="19" t="s">
        <v>25</v>
      </c>
      <c r="G162" s="10">
        <f>SUMIF([1]!Table3[Código Institucional],'[1]ENTRADA 6-05-2022'!C162:C365,[1]!Table3[Cantidad])</f>
        <v>21</v>
      </c>
      <c r="H162" s="10">
        <f>SUMIF([1]!Table2[Código Institucional],'[1]ENTRADA 6-05-2022'!C162:C365,[1]!Table2[Cantidad])</f>
        <v>21</v>
      </c>
      <c r="I162" s="20">
        <v>275</v>
      </c>
      <c r="J162" s="12">
        <f t="shared" si="4"/>
        <v>0</v>
      </c>
      <c r="K162" s="13">
        <f t="shared" si="5"/>
        <v>0</v>
      </c>
    </row>
    <row r="163" spans="1:11" ht="17.25" x14ac:dyDescent="0.3">
      <c r="A163" s="21" t="s">
        <v>156</v>
      </c>
      <c r="B163" s="6">
        <v>44687</v>
      </c>
      <c r="C163" s="7">
        <v>2008</v>
      </c>
      <c r="D163" s="8" t="s">
        <v>164</v>
      </c>
      <c r="E163" s="9">
        <f>17+8-3</f>
        <v>22</v>
      </c>
      <c r="F163" s="19" t="s">
        <v>20</v>
      </c>
      <c r="G163" s="10">
        <f>SUMIF([1]!Table3[Código Institucional],'[1]ENTRADA 6-05-2022'!C163:C368,[1]!Table3[Cantidad])</f>
        <v>12</v>
      </c>
      <c r="H163" s="10">
        <f>SUMIF([1]!Table2[Código Institucional],'[1]ENTRADA 6-05-2022'!C163:C368,[1]!Table2[Cantidad])</f>
        <v>6</v>
      </c>
      <c r="I163" s="20">
        <v>362</v>
      </c>
      <c r="J163" s="12">
        <f t="shared" si="4"/>
        <v>1433.52</v>
      </c>
      <c r="K163" s="13">
        <f t="shared" si="5"/>
        <v>9397.52</v>
      </c>
    </row>
    <row r="164" spans="1:11" ht="17.25" x14ac:dyDescent="0.3">
      <c r="A164" s="21" t="s">
        <v>156</v>
      </c>
      <c r="B164" s="6">
        <v>44687</v>
      </c>
      <c r="C164" s="7">
        <v>2009</v>
      </c>
      <c r="D164" s="8" t="s">
        <v>165</v>
      </c>
      <c r="E164" s="9">
        <f>24+50-16-5</f>
        <v>53</v>
      </c>
      <c r="F164" s="19" t="s">
        <v>20</v>
      </c>
      <c r="G164" s="10">
        <f>SUMIF([1]!Table3[Código Institucional],'[1]ENTRADA 6-05-2022'!C164:C369,[1]!Table3[Cantidad])</f>
        <v>100</v>
      </c>
      <c r="H164" s="10">
        <f>SUMIF([1]!Table2[Código Institucional],'[1]ENTRADA 6-05-2022'!C164:C369,[1]!Table2[Cantidad])</f>
        <v>30</v>
      </c>
      <c r="I164" s="20">
        <v>11</v>
      </c>
      <c r="J164" s="12">
        <f t="shared" si="4"/>
        <v>104.94</v>
      </c>
      <c r="K164" s="13">
        <f t="shared" si="5"/>
        <v>687.94</v>
      </c>
    </row>
    <row r="165" spans="1:11" ht="17.25" x14ac:dyDescent="0.3">
      <c r="A165" s="21" t="s">
        <v>156</v>
      </c>
      <c r="B165" s="6">
        <v>44687</v>
      </c>
      <c r="C165" s="7">
        <v>2010</v>
      </c>
      <c r="D165" s="8" t="s">
        <v>166</v>
      </c>
      <c r="E165" s="9">
        <f>35+8</f>
        <v>43</v>
      </c>
      <c r="F165" s="19" t="s">
        <v>20</v>
      </c>
      <c r="G165" s="10">
        <f>SUMIF([1]!Table3[Código Institucional],'[1]ENTRADA 6-05-2022'!C165:C370,[1]!Table3[Cantidad])</f>
        <v>15</v>
      </c>
      <c r="H165" s="10">
        <f>SUMIF([1]!Table2[Código Institucional],'[1]ENTRADA 6-05-2022'!C165:C370,[1]!Table2[Cantidad])</f>
        <v>8</v>
      </c>
      <c r="I165" s="20">
        <v>173</v>
      </c>
      <c r="J165" s="12">
        <f>+(Table167910[[#This Row],[Valor]]*Table167910[[#This Row],[Existencia]])*0.18</f>
        <v>1339.02</v>
      </c>
      <c r="K165" s="13">
        <v>2550</v>
      </c>
    </row>
    <row r="166" spans="1:11" ht="17.25" x14ac:dyDescent="0.3">
      <c r="A166" s="21"/>
      <c r="B166" s="6">
        <v>44687</v>
      </c>
      <c r="C166" s="7"/>
      <c r="D166" s="8" t="s">
        <v>167</v>
      </c>
      <c r="E166" s="9">
        <v>8</v>
      </c>
      <c r="F166" s="19" t="s">
        <v>20</v>
      </c>
      <c r="G166" s="10">
        <f>SUMIF([1]!Table3[Código Institucional],'[1]ENTRADA 6-05-2022'!C166:C357,[1]!Table3[Cantidad])</f>
        <v>0</v>
      </c>
      <c r="H166" s="10">
        <f>SUMIF([1]!Table2[Código Institucional],'[1]ENTRADA 6-05-2022'!C166:C357,[1]!Table2[Cantidad])</f>
        <v>0</v>
      </c>
      <c r="I166" s="20">
        <v>106</v>
      </c>
      <c r="J166" s="12">
        <f>I166*18%*E166</f>
        <v>152.63999999999999</v>
      </c>
      <c r="K166" s="13">
        <f>E166*I166+J166</f>
        <v>1000.64</v>
      </c>
    </row>
    <row r="167" spans="1:11" ht="17.25" x14ac:dyDescent="0.3">
      <c r="A167" s="21" t="s">
        <v>156</v>
      </c>
      <c r="B167" s="6">
        <v>44315</v>
      </c>
      <c r="C167" s="7">
        <v>2011</v>
      </c>
      <c r="D167" s="8" t="s">
        <v>168</v>
      </c>
      <c r="E167" s="9">
        <v>4</v>
      </c>
      <c r="F167" s="19" t="s">
        <v>20</v>
      </c>
      <c r="G167" s="10">
        <f>SUMIF([1]!Table3[Código Institucional],'[1]ENTRADA 6-05-2022'!C167:C371,[1]!Table3[Cantidad])</f>
        <v>45</v>
      </c>
      <c r="H167" s="10">
        <f>SUMIF([1]!Table2[Código Institucional],'[1]ENTRADA 6-05-2022'!C167:C371,[1]!Table2[Cantidad])</f>
        <v>24</v>
      </c>
      <c r="I167" s="20">
        <v>364</v>
      </c>
      <c r="J167" s="12">
        <v>982.8</v>
      </c>
      <c r="K167" s="13">
        <f t="shared" si="5"/>
        <v>2438.8000000000002</v>
      </c>
    </row>
    <row r="168" spans="1:11" ht="17.25" hidden="1" x14ac:dyDescent="0.3">
      <c r="A168" s="21" t="s">
        <v>156</v>
      </c>
      <c r="B168" s="21" t="s">
        <v>158</v>
      </c>
      <c r="C168" s="7">
        <v>2013</v>
      </c>
      <c r="D168" s="8" t="s">
        <v>169</v>
      </c>
      <c r="E168" s="9">
        <f>Table167910[[#This Row],[Qty Entrada]]-Table167910[[#This Row],[Qty Salida]]</f>
        <v>0</v>
      </c>
      <c r="F168" s="19" t="s">
        <v>20</v>
      </c>
      <c r="G168" s="10">
        <f>SUMIF([1]!Table3[Código Institucional],'[1]ENTRADA 6-05-2022'!C168:C373,[1]!Table3[Cantidad])</f>
        <v>180</v>
      </c>
      <c r="H168" s="10">
        <f>SUMIF([1]!Table2[Código Institucional],'[1]ENTRADA 6-05-2022'!C168:C373,[1]!Table2[Cantidad])</f>
        <v>180</v>
      </c>
      <c r="I168" s="20">
        <v>9.0749999999999993</v>
      </c>
      <c r="J168" s="12">
        <v>0</v>
      </c>
      <c r="K168" s="13">
        <f t="shared" si="5"/>
        <v>0</v>
      </c>
    </row>
    <row r="169" spans="1:11" ht="17.25" x14ac:dyDescent="0.3">
      <c r="A169" s="21" t="s">
        <v>156</v>
      </c>
      <c r="B169" s="6">
        <v>44315</v>
      </c>
      <c r="C169" s="7">
        <v>2014</v>
      </c>
      <c r="D169" s="8" t="s">
        <v>170</v>
      </c>
      <c r="E169" s="9">
        <f>69-4-4-4</f>
        <v>57</v>
      </c>
      <c r="F169" s="19" t="s">
        <v>99</v>
      </c>
      <c r="G169" s="10">
        <f>SUMIF([1]!Table3[Código Institucional],'[1]ENTRADA 6-05-2022'!C169:C374,[1]!Table3[Cantidad])</f>
        <v>155</v>
      </c>
      <c r="H169" s="10">
        <f>SUMIF([1]!Table2[Código Institucional],'[1]ENTRADA 6-05-2022'!C169:C374,[1]!Table2[Cantidad])</f>
        <v>15</v>
      </c>
      <c r="I169" s="20">
        <v>92</v>
      </c>
      <c r="J169" s="12">
        <f t="shared" si="4"/>
        <v>943.92</v>
      </c>
      <c r="K169" s="13">
        <f t="shared" si="5"/>
        <v>6187.92</v>
      </c>
    </row>
    <row r="170" spans="1:11" ht="17.25" x14ac:dyDescent="0.3">
      <c r="A170" s="21" t="s">
        <v>156</v>
      </c>
      <c r="B170" s="6">
        <v>44687</v>
      </c>
      <c r="C170" s="7">
        <v>2015</v>
      </c>
      <c r="D170" s="8" t="s">
        <v>171</v>
      </c>
      <c r="E170" s="9">
        <f>4+3-2</f>
        <v>5</v>
      </c>
      <c r="F170" s="19" t="s">
        <v>25</v>
      </c>
      <c r="G170" s="10">
        <f>SUMIF([1]!Table3[Código Institucional],'[1]ENTRADA 6-05-2022'!C170:C375,[1]!Table3[Cantidad])</f>
        <v>26</v>
      </c>
      <c r="H170" s="10">
        <f>SUMIF([1]!Table2[Código Institucional],'[1]ENTRADA 6-05-2022'!C170:C375,[1]!Table2[Cantidad])</f>
        <v>19</v>
      </c>
      <c r="I170" s="20">
        <v>518</v>
      </c>
      <c r="J170" s="12">
        <f t="shared" si="4"/>
        <v>466.2</v>
      </c>
      <c r="K170" s="13">
        <f t="shared" si="5"/>
        <v>3056.2</v>
      </c>
    </row>
    <row r="171" spans="1:11" ht="17.25" x14ac:dyDescent="0.3">
      <c r="A171" s="21" t="s">
        <v>156</v>
      </c>
      <c r="B171" s="6">
        <v>44687</v>
      </c>
      <c r="C171" s="7">
        <v>2016</v>
      </c>
      <c r="D171" s="8" t="s">
        <v>172</v>
      </c>
      <c r="E171" s="9">
        <f>71+15-1-1</f>
        <v>84</v>
      </c>
      <c r="F171" s="19" t="s">
        <v>173</v>
      </c>
      <c r="G171" s="10">
        <f>SUMIF([1]!Table3[Código Institucional],'[1]ENTRADA 6-05-2022'!C171:C376,[1]!Table3[Cantidad])</f>
        <v>340</v>
      </c>
      <c r="H171" s="10">
        <f>SUMIF([1]!Table2[Código Institucional],'[1]ENTRADA 6-05-2022'!C171:C376,[1]!Table2[Cantidad])</f>
        <v>94</v>
      </c>
      <c r="I171" s="20">
        <v>70</v>
      </c>
      <c r="J171" s="12">
        <f t="shared" si="4"/>
        <v>1058.3999999999999</v>
      </c>
      <c r="K171" s="13">
        <f t="shared" si="5"/>
        <v>6938.4</v>
      </c>
    </row>
    <row r="172" spans="1:11" ht="17.25" x14ac:dyDescent="0.3">
      <c r="A172" s="21" t="s">
        <v>156</v>
      </c>
      <c r="B172" s="6">
        <v>44687</v>
      </c>
      <c r="C172" s="7">
        <v>2017</v>
      </c>
      <c r="D172" s="8" t="s">
        <v>174</v>
      </c>
      <c r="E172" s="9">
        <f>27+7-2</f>
        <v>32</v>
      </c>
      <c r="F172" s="19" t="s">
        <v>99</v>
      </c>
      <c r="G172" s="10">
        <f>SUMIF([1]!Table3[Código Institucional],'[1]ENTRADA 6-05-2022'!C172:C377,[1]!Table3[Cantidad])</f>
        <v>58</v>
      </c>
      <c r="H172" s="10">
        <f>SUMIF([1]!Table2[Código Institucional],'[1]ENTRADA 6-05-2022'!C172:C377,[1]!Table2[Cantidad])</f>
        <v>42</v>
      </c>
      <c r="I172" s="20">
        <v>180</v>
      </c>
      <c r="J172" s="12">
        <f>I172*16%*E172</f>
        <v>921.6</v>
      </c>
      <c r="K172" s="13">
        <f t="shared" si="5"/>
        <v>6681.6</v>
      </c>
    </row>
    <row r="173" spans="1:11" ht="17.25" x14ac:dyDescent="0.3">
      <c r="A173" s="21" t="s">
        <v>156</v>
      </c>
      <c r="B173" s="6">
        <v>44687</v>
      </c>
      <c r="C173" s="7">
        <v>2018</v>
      </c>
      <c r="D173" s="8" t="s">
        <v>175</v>
      </c>
      <c r="E173" s="9">
        <f>26+7-2-2</f>
        <v>29</v>
      </c>
      <c r="F173" s="19" t="s">
        <v>99</v>
      </c>
      <c r="G173" s="10">
        <f>SUMIF([1]!Table3[Código Institucional],'[1]ENTRADA 6-05-2022'!C173:C378,[1]!Table3[Cantidad])</f>
        <v>55</v>
      </c>
      <c r="H173" s="10">
        <f>SUMIF([1]!Table2[Código Institucional],'[1]ENTRADA 6-05-2022'!C173:C378,[1]!Table2[Cantidad])</f>
        <v>42</v>
      </c>
      <c r="I173" s="20">
        <v>157</v>
      </c>
      <c r="J173" s="12">
        <f>I173*16%*E173</f>
        <v>728.48</v>
      </c>
      <c r="K173" s="13">
        <f t="shared" si="5"/>
        <v>5281.48</v>
      </c>
    </row>
    <row r="174" spans="1:11" ht="17.25" x14ac:dyDescent="0.3">
      <c r="A174" s="21" t="s">
        <v>156</v>
      </c>
      <c r="B174" s="6">
        <v>44687</v>
      </c>
      <c r="C174" s="7">
        <v>2019</v>
      </c>
      <c r="D174" s="8" t="s">
        <v>176</v>
      </c>
      <c r="E174" s="9">
        <f>11+8-2-1</f>
        <v>16</v>
      </c>
      <c r="F174" s="19" t="s">
        <v>20</v>
      </c>
      <c r="G174" s="10">
        <f>SUMIF([1]!Table3[Código Institucional],'[1]ENTRADA 6-05-2022'!C174:C379,[1]!Table3[Cantidad])</f>
        <v>39</v>
      </c>
      <c r="H174" s="10">
        <f>SUMIF([1]!Table2[Código Institucional],'[1]ENTRADA 6-05-2022'!C174:C379,[1]!Table2[Cantidad])</f>
        <v>26</v>
      </c>
      <c r="I174" s="20">
        <v>210</v>
      </c>
      <c r="J174" s="12">
        <f t="shared" si="4"/>
        <v>604.79999999999995</v>
      </c>
      <c r="K174" s="13">
        <f t="shared" si="5"/>
        <v>3964.8</v>
      </c>
    </row>
    <row r="175" spans="1:11" ht="17.25" x14ac:dyDescent="0.3">
      <c r="A175" s="21" t="s">
        <v>156</v>
      </c>
      <c r="B175" s="6">
        <v>44687</v>
      </c>
      <c r="C175" s="7">
        <v>2020</v>
      </c>
      <c r="D175" s="8" t="s">
        <v>177</v>
      </c>
      <c r="E175" s="9">
        <f>16+8-2</f>
        <v>22</v>
      </c>
      <c r="F175" s="19" t="s">
        <v>20</v>
      </c>
      <c r="G175" s="10">
        <f>SUMIF([1]!Table3[Código Institucional],'[1]ENTRADA 6-05-2022'!C175:C380,[1]!Table3[Cantidad])</f>
        <v>50</v>
      </c>
      <c r="H175" s="10">
        <f>SUMIF([1]!Table2[Código Institucional],'[1]ENTRADA 6-05-2022'!C175:C380,[1]!Table2[Cantidad])</f>
        <v>40</v>
      </c>
      <c r="I175" s="20">
        <v>425</v>
      </c>
      <c r="J175" s="12">
        <f t="shared" si="4"/>
        <v>1683</v>
      </c>
      <c r="K175" s="13">
        <f t="shared" si="5"/>
        <v>11033</v>
      </c>
    </row>
    <row r="176" spans="1:11" ht="17.25" x14ac:dyDescent="0.3">
      <c r="A176" s="21" t="s">
        <v>156</v>
      </c>
      <c r="B176" s="6">
        <v>44687</v>
      </c>
      <c r="C176" s="7">
        <v>2022</v>
      </c>
      <c r="D176" s="8" t="s">
        <v>178</v>
      </c>
      <c r="E176" s="9">
        <f>23+8-8</f>
        <v>23</v>
      </c>
      <c r="F176" s="19" t="s">
        <v>25</v>
      </c>
      <c r="G176" s="10">
        <f>SUMIF([1]!Table3[Código Institucional],'[1]ENTRADA 6-05-2022'!C176:C382,[1]!Table3[Cantidad])</f>
        <v>94</v>
      </c>
      <c r="H176" s="10">
        <f>SUMIF([1]!Table2[Código Institucional],'[1]ENTRADA 6-05-2022'!C176:C382,[1]!Table2[Cantidad])</f>
        <v>73</v>
      </c>
      <c r="I176" s="20">
        <v>229</v>
      </c>
      <c r="J176" s="12">
        <f t="shared" si="4"/>
        <v>948.06</v>
      </c>
      <c r="K176" s="13">
        <f t="shared" si="5"/>
        <v>6215.0599999999995</v>
      </c>
    </row>
    <row r="177" spans="1:13" ht="17.25" hidden="1" x14ac:dyDescent="0.3">
      <c r="A177" s="21" t="s">
        <v>156</v>
      </c>
      <c r="B177" s="6">
        <v>44688</v>
      </c>
      <c r="C177" s="7">
        <v>2023</v>
      </c>
      <c r="D177" s="8" t="s">
        <v>179</v>
      </c>
      <c r="E177" s="9">
        <f>Table167910[[#This Row],[Qty Entrada]]-Table167910[[#This Row],[Qty Salida]]</f>
        <v>0</v>
      </c>
      <c r="F177" s="19" t="s">
        <v>25</v>
      </c>
      <c r="G177" s="10">
        <f>SUMIF([1]!Table3[Código Institucional],'[1]ENTRADA 6-05-2022'!C177:C383,[1]!Table3[Cantidad])</f>
        <v>29</v>
      </c>
      <c r="H177" s="10">
        <f>SUMIF([1]!Table2[Código Institucional],'[1]ENTRADA 6-05-2022'!C177:C383,[1]!Table2[Cantidad])</f>
        <v>29</v>
      </c>
      <c r="I177" s="20">
        <v>228</v>
      </c>
      <c r="J177" s="12">
        <f t="shared" si="4"/>
        <v>0</v>
      </c>
      <c r="K177" s="13">
        <f t="shared" si="5"/>
        <v>0</v>
      </c>
    </row>
    <row r="178" spans="1:13" ht="17.25" x14ac:dyDescent="0.3">
      <c r="A178" s="21"/>
      <c r="B178" s="6">
        <v>44687</v>
      </c>
      <c r="C178" s="7">
        <v>2024</v>
      </c>
      <c r="D178" s="8" t="s">
        <v>180</v>
      </c>
      <c r="E178" s="9">
        <f>10-4-1-1+1</f>
        <v>5</v>
      </c>
      <c r="F178" s="19" t="s">
        <v>173</v>
      </c>
      <c r="G178" s="10">
        <f>SUMIF([1]!Table3[Código Institucional],'[1]ENTRADA 6-05-2022'!C178:C369,[1]!Table3[Cantidad])</f>
        <v>61</v>
      </c>
      <c r="H178" s="10">
        <f>SUMIF([1]!Table2[Código Institucional],'[1]ENTRADA 6-05-2022'!C178:C369,[1]!Table2[Cantidad])</f>
        <v>41</v>
      </c>
      <c r="I178" s="20">
        <v>264</v>
      </c>
      <c r="J178" s="12">
        <f>I178*18%*E178</f>
        <v>237.59999999999997</v>
      </c>
      <c r="K178" s="13">
        <f>E178*I178+J178</f>
        <v>1557.6</v>
      </c>
    </row>
    <row r="179" spans="1:13" ht="17.25" x14ac:dyDescent="0.3">
      <c r="A179" s="6">
        <v>44312</v>
      </c>
      <c r="B179" s="6">
        <v>44687</v>
      </c>
      <c r="C179" s="7">
        <v>2025</v>
      </c>
      <c r="D179" s="8" t="s">
        <v>181</v>
      </c>
      <c r="E179" s="9">
        <f>3+10-2</f>
        <v>11</v>
      </c>
      <c r="F179" s="19" t="s">
        <v>99</v>
      </c>
      <c r="G179" s="10">
        <f>SUMIF([1]!Table3[Código Institucional],'[1]ENTRADA 6-05-2022'!C179:C385,[1]!Table3[Cantidad])</f>
        <v>12</v>
      </c>
      <c r="H179" s="10">
        <f>SUMIF([1]!Table2[Código Institucional],'[1]ENTRADA 6-05-2022'!C179:C385,[1]!Table2[Cantidad])</f>
        <v>5</v>
      </c>
      <c r="I179" s="20">
        <v>65</v>
      </c>
      <c r="J179" s="12">
        <f t="shared" si="4"/>
        <v>128.69999999999999</v>
      </c>
      <c r="K179" s="13">
        <f t="shared" si="5"/>
        <v>843.7</v>
      </c>
    </row>
    <row r="180" spans="1:13" ht="17.25" hidden="1" x14ac:dyDescent="0.3">
      <c r="A180" s="21" t="s">
        <v>156</v>
      </c>
      <c r="B180" s="21" t="s">
        <v>158</v>
      </c>
      <c r="C180" s="7">
        <v>2026</v>
      </c>
      <c r="D180" s="8" t="s">
        <v>182</v>
      </c>
      <c r="E180" s="9">
        <f>Table167910[[#This Row],[Qty Entrada]]-Table167910[[#This Row],[Qty Salida]]</f>
        <v>0</v>
      </c>
      <c r="F180" s="19" t="s">
        <v>20</v>
      </c>
      <c r="G180" s="10">
        <f>SUMIF([1]!Table3[Código Institucional],'[1]ENTRADA 6-05-2022'!C180:C386,[1]!Table3[Cantidad])</f>
        <v>0</v>
      </c>
      <c r="H180" s="10">
        <f>SUMIF([1]!Table2[Código Institucional],'[1]ENTRADA 6-05-2022'!C180:C386,[1]!Table2[Cantidad])</f>
        <v>0</v>
      </c>
      <c r="I180" s="20"/>
      <c r="J180" s="12">
        <f t="shared" si="4"/>
        <v>0</v>
      </c>
      <c r="K180" s="13">
        <f t="shared" si="5"/>
        <v>0</v>
      </c>
    </row>
    <row r="181" spans="1:13" ht="17.25" x14ac:dyDescent="0.3">
      <c r="A181" s="21" t="s">
        <v>156</v>
      </c>
      <c r="B181" s="6">
        <v>44687</v>
      </c>
      <c r="C181" s="7">
        <v>2027</v>
      </c>
      <c r="D181" s="8" t="s">
        <v>183</v>
      </c>
      <c r="E181" s="9">
        <f>10-1-1</f>
        <v>8</v>
      </c>
      <c r="F181" s="19" t="s">
        <v>99</v>
      </c>
      <c r="G181" s="10">
        <f>SUMIF([1]!Table3[Código Institucional],'[1]ENTRADA 6-05-2022'!C181:C387,[1]!Table3[Cantidad])</f>
        <v>44</v>
      </c>
      <c r="H181" s="10">
        <f>SUMIF([1]!Table2[Código Institucional],'[1]ENTRADA 6-05-2022'!C181:C387,[1]!Table2[Cantidad])</f>
        <v>43</v>
      </c>
      <c r="I181" s="20">
        <v>54</v>
      </c>
      <c r="J181" s="12">
        <f t="shared" si="4"/>
        <v>77.759999999999991</v>
      </c>
      <c r="K181" s="13">
        <f t="shared" si="5"/>
        <v>509.76</v>
      </c>
    </row>
    <row r="182" spans="1:13" ht="17.25" x14ac:dyDescent="0.3">
      <c r="A182" s="22" t="s">
        <v>156</v>
      </c>
      <c r="B182" s="23">
        <v>44687</v>
      </c>
      <c r="C182" s="18">
        <v>2028</v>
      </c>
      <c r="D182" s="16" t="s">
        <v>184</v>
      </c>
      <c r="E182" s="9">
        <f>2+5-1-4</f>
        <v>2</v>
      </c>
      <c r="F182" s="24" t="s">
        <v>173</v>
      </c>
      <c r="G182" s="9">
        <f>SUMIF([1]!Table3[Código Institucional],'[1]ENTRADA 6-05-2022'!C182:C388,[1]!Table3[Cantidad])</f>
        <v>55</v>
      </c>
      <c r="H182" s="9">
        <f>SUMIF([1]!Table2[Código Institucional],'[1]ENTRADA 6-05-2022'!C182:C388,[1]!Table2[Cantidad])</f>
        <v>51</v>
      </c>
      <c r="I182" s="25">
        <v>1445</v>
      </c>
      <c r="J182" s="26">
        <f t="shared" si="4"/>
        <v>520.19999999999993</v>
      </c>
      <c r="K182" s="27">
        <f t="shared" si="5"/>
        <v>3410.2</v>
      </c>
    </row>
    <row r="183" spans="1:13" ht="17.25" hidden="1" x14ac:dyDescent="0.3">
      <c r="A183" s="22" t="s">
        <v>156</v>
      </c>
      <c r="B183" s="22" t="s">
        <v>158</v>
      </c>
      <c r="C183" s="18">
        <v>2029</v>
      </c>
      <c r="D183" s="16" t="s">
        <v>185</v>
      </c>
      <c r="E183" s="9">
        <f>Table167910[[#This Row],[Qty Entrada]]-Table167910[[#This Row],[Qty Salida]]</f>
        <v>0</v>
      </c>
      <c r="F183" s="24" t="s">
        <v>20</v>
      </c>
      <c r="G183" s="9">
        <f>SUMIF([1]!Table3[Código Institucional],'[1]ENTRADA 6-05-2022'!C183:C389,[1]!Table3[Cantidad])</f>
        <v>139</v>
      </c>
      <c r="H183" s="9">
        <f>SUMIF([1]!Table2[Código Institucional],'[1]ENTRADA 6-05-2022'!C183:C389,[1]!Table2[Cantidad])</f>
        <v>139</v>
      </c>
      <c r="I183" s="25">
        <v>197</v>
      </c>
      <c r="J183" s="26">
        <f t="shared" si="4"/>
        <v>0</v>
      </c>
      <c r="K183" s="27">
        <f t="shared" si="5"/>
        <v>0</v>
      </c>
    </row>
    <row r="184" spans="1:13" ht="17.25" x14ac:dyDescent="0.3">
      <c r="A184" s="22" t="s">
        <v>156</v>
      </c>
      <c r="B184" s="23">
        <v>44687</v>
      </c>
      <c r="C184" s="18">
        <v>2030</v>
      </c>
      <c r="D184" s="16" t="s">
        <v>186</v>
      </c>
      <c r="E184" s="9">
        <f>2+3-1</f>
        <v>4</v>
      </c>
      <c r="F184" s="24" t="s">
        <v>20</v>
      </c>
      <c r="G184" s="9">
        <f>SUMIF([1]!Table3[Código Institucional],'[1]ENTRADA 6-05-2022'!C184:C390,[1]!Table3[Cantidad])</f>
        <v>5</v>
      </c>
      <c r="H184" s="9">
        <f>SUMIF([1]!Table2[Código Institucional],'[1]ENTRADA 6-05-2022'!C184:C390,[1]!Table2[Cantidad])</f>
        <v>2</v>
      </c>
      <c r="I184" s="25">
        <v>95</v>
      </c>
      <c r="J184" s="26">
        <f t="shared" si="4"/>
        <v>68.399999999999991</v>
      </c>
      <c r="K184" s="27">
        <f t="shared" si="5"/>
        <v>448.4</v>
      </c>
    </row>
    <row r="185" spans="1:13" ht="17.25" hidden="1" x14ac:dyDescent="0.3">
      <c r="A185" s="21" t="s">
        <v>156</v>
      </c>
      <c r="B185" s="21" t="s">
        <v>158</v>
      </c>
      <c r="C185" s="7">
        <v>2031</v>
      </c>
      <c r="D185" s="8" t="s">
        <v>187</v>
      </c>
      <c r="E185" s="9">
        <f>Table167910[[#This Row],[Qty Entrada]]-Table167910[[#This Row],[Qty Salida]]</f>
        <v>0</v>
      </c>
      <c r="F185" s="19" t="s">
        <v>20</v>
      </c>
      <c r="G185" s="10">
        <f>SUMIF([1]!Table3[Código Institucional],'[1]ENTRADA 6-05-2022'!C185:C391,[1]!Table3[Cantidad])</f>
        <v>7</v>
      </c>
      <c r="H185" s="10">
        <f>SUMIF([1]!Table2[Código Institucional],'[1]ENTRADA 6-05-2022'!C185:C391,[1]!Table2[Cantidad])</f>
        <v>7</v>
      </c>
      <c r="I185" s="20">
        <v>131</v>
      </c>
      <c r="J185" s="26">
        <f t="shared" si="4"/>
        <v>0</v>
      </c>
      <c r="K185" s="13">
        <f t="shared" si="5"/>
        <v>0</v>
      </c>
    </row>
    <row r="186" spans="1:13" ht="17.25" x14ac:dyDescent="0.3">
      <c r="A186" s="21"/>
      <c r="B186" s="6">
        <v>44687</v>
      </c>
      <c r="C186" s="7">
        <v>2031</v>
      </c>
      <c r="D186" s="8" t="s">
        <v>187</v>
      </c>
      <c r="E186" s="9">
        <f>3-1</f>
        <v>2</v>
      </c>
      <c r="F186" s="19" t="s">
        <v>20</v>
      </c>
      <c r="G186" s="10">
        <f>SUMIF([1]!Table3[Código Institucional],'[1]ENTRADA 6-05-2022'!C186:C377,[1]!Table3[Cantidad])</f>
        <v>7</v>
      </c>
      <c r="H186" s="10">
        <f>SUMIF([1]!Table2[Código Institucional],'[1]ENTRADA 6-05-2022'!C186:C377,[1]!Table2[Cantidad])</f>
        <v>7</v>
      </c>
      <c r="I186" s="20">
        <v>277</v>
      </c>
      <c r="J186" s="26">
        <f t="shared" si="4"/>
        <v>99.72</v>
      </c>
      <c r="K186" s="13">
        <f>E186*I186+J186</f>
        <v>653.72</v>
      </c>
    </row>
    <row r="187" spans="1:13" ht="17.25" x14ac:dyDescent="0.3">
      <c r="A187" s="21" t="s">
        <v>156</v>
      </c>
      <c r="B187" s="6">
        <v>44687</v>
      </c>
      <c r="C187" s="7">
        <v>2032</v>
      </c>
      <c r="D187" s="8" t="s">
        <v>188</v>
      </c>
      <c r="E187" s="9">
        <f>2+10</f>
        <v>12</v>
      </c>
      <c r="F187" s="19" t="s">
        <v>99</v>
      </c>
      <c r="G187" s="10">
        <f>SUMIF([1]!Table3[Código Institucional],'[1]ENTRADA 6-05-2022'!C187:C392,[1]!Table3[Cantidad])</f>
        <v>75</v>
      </c>
      <c r="H187" s="10">
        <f>SUMIF([1]!Table2[Código Institucional],'[1]ENTRADA 6-05-2022'!C187:C392,[1]!Table2[Cantidad])</f>
        <v>55</v>
      </c>
      <c r="I187" s="20">
        <v>69</v>
      </c>
      <c r="J187" s="12">
        <f t="shared" si="4"/>
        <v>149.04</v>
      </c>
      <c r="K187" s="13">
        <f t="shared" si="5"/>
        <v>977.04</v>
      </c>
      <c r="M187" s="1"/>
    </row>
    <row r="188" spans="1:13" ht="17.25" hidden="1" x14ac:dyDescent="0.3">
      <c r="A188" s="21" t="s">
        <v>156</v>
      </c>
      <c r="B188" s="21" t="s">
        <v>158</v>
      </c>
      <c r="C188" s="7">
        <v>2033</v>
      </c>
      <c r="D188" s="8" t="s">
        <v>189</v>
      </c>
      <c r="E188" s="9">
        <f>Table167910[[#This Row],[Qty Entrada]]-Table167910[[#This Row],[Qty Salida]]</f>
        <v>0</v>
      </c>
      <c r="F188" s="19" t="s">
        <v>173</v>
      </c>
      <c r="G188" s="10">
        <f>SUMIF([1]!Table3[Código Institucional],'[1]ENTRADA 6-05-2022'!C188:C393,[1]!Table3[Cantidad])</f>
        <v>41</v>
      </c>
      <c r="H188" s="10">
        <f>SUMIF([1]!Table2[Código Institucional],'[1]ENTRADA 6-05-2022'!C188:C393,[1]!Table2[Cantidad])</f>
        <v>41</v>
      </c>
      <c r="I188" s="20">
        <v>550</v>
      </c>
      <c r="J188" s="12">
        <f t="shared" si="4"/>
        <v>0</v>
      </c>
      <c r="K188" s="13">
        <f t="shared" si="5"/>
        <v>0</v>
      </c>
      <c r="M188" s="1"/>
    </row>
    <row r="189" spans="1:13" ht="17.25" x14ac:dyDescent="0.3">
      <c r="A189" s="21" t="s">
        <v>156</v>
      </c>
      <c r="B189" s="6">
        <v>44687</v>
      </c>
      <c r="C189" s="7">
        <v>2034</v>
      </c>
      <c r="D189" s="8" t="s">
        <v>190</v>
      </c>
      <c r="E189" s="9">
        <f>11+10-1</f>
        <v>20</v>
      </c>
      <c r="F189" s="19" t="s">
        <v>150</v>
      </c>
      <c r="G189" s="10">
        <f>SUMIF([1]!Table3[Código Institucional],'[1]ENTRADA 6-05-2022'!C189:C394,[1]!Table3[Cantidad])</f>
        <v>26</v>
      </c>
      <c r="H189" s="10">
        <f>SUMIF([1]!Table2[Código Institucional],'[1]ENTRADA 6-05-2022'!C189:C394,[1]!Table2[Cantidad])</f>
        <v>15</v>
      </c>
      <c r="I189" s="20">
        <v>80</v>
      </c>
      <c r="J189" s="12">
        <f t="shared" si="4"/>
        <v>288</v>
      </c>
      <c r="K189" s="13">
        <f t="shared" si="5"/>
        <v>1888</v>
      </c>
      <c r="M189" s="1"/>
    </row>
    <row r="190" spans="1:13" ht="17.25" x14ac:dyDescent="0.3">
      <c r="A190" s="21" t="s">
        <v>156</v>
      </c>
      <c r="B190" s="6">
        <v>44687</v>
      </c>
      <c r="C190" s="7">
        <v>2035</v>
      </c>
      <c r="D190" s="8" t="s">
        <v>191</v>
      </c>
      <c r="E190" s="9">
        <f>11+5-1</f>
        <v>15</v>
      </c>
      <c r="F190" s="19" t="s">
        <v>99</v>
      </c>
      <c r="G190" s="10">
        <f>SUMIF([1]!Table3[Código Institucional],'[1]ENTRADA 6-05-2022'!C190:C395,[1]!Table3[Cantidad])</f>
        <v>58</v>
      </c>
      <c r="H190" s="10">
        <f>SUMIF([1]!Table2[Código Institucional],'[1]ENTRADA 6-05-2022'!C190:C395,[1]!Table2[Cantidad])</f>
        <v>45</v>
      </c>
      <c r="I190" s="20">
        <v>66</v>
      </c>
      <c r="J190" s="12">
        <f t="shared" si="4"/>
        <v>178.2</v>
      </c>
      <c r="K190" s="13">
        <f t="shared" si="5"/>
        <v>1168.2</v>
      </c>
      <c r="M190" s="1"/>
    </row>
    <row r="191" spans="1:13" ht="17.25" x14ac:dyDescent="0.3">
      <c r="A191" s="21" t="s">
        <v>156</v>
      </c>
      <c r="B191" s="6">
        <v>44687</v>
      </c>
      <c r="C191" s="7">
        <v>2037</v>
      </c>
      <c r="D191" s="8" t="s">
        <v>192</v>
      </c>
      <c r="E191" s="9">
        <f>9+8-1-1</f>
        <v>15</v>
      </c>
      <c r="F191" s="19" t="s">
        <v>150</v>
      </c>
      <c r="G191" s="10">
        <f>SUMIF([1]!Table3[Código Institucional],'[1]ENTRADA 6-05-2022'!C191:C397,[1]!Table3[Cantidad])</f>
        <v>32</v>
      </c>
      <c r="H191" s="10">
        <f>SUMIF([1]!Table2[Código Institucional],'[1]ENTRADA 6-05-2022'!C191:C397,[1]!Table2[Cantidad])</f>
        <v>18</v>
      </c>
      <c r="I191" s="20">
        <v>250</v>
      </c>
      <c r="J191" s="12">
        <f t="shared" si="4"/>
        <v>675</v>
      </c>
      <c r="K191" s="13">
        <f t="shared" si="5"/>
        <v>4425</v>
      </c>
      <c r="M191" s="15"/>
    </row>
    <row r="192" spans="1:13" ht="17.25" x14ac:dyDescent="0.3">
      <c r="A192" s="21" t="s">
        <v>156</v>
      </c>
      <c r="B192" s="6">
        <v>44687</v>
      </c>
      <c r="C192" s="7">
        <v>2038</v>
      </c>
      <c r="D192" s="8" t="s">
        <v>193</v>
      </c>
      <c r="E192" s="9">
        <f>1+6-2-2</f>
        <v>3</v>
      </c>
      <c r="F192" s="19" t="s">
        <v>20</v>
      </c>
      <c r="G192" s="10">
        <f>SUMIF([1]!Table3[Código Institucional],'[1]ENTRADA 6-05-2022'!C192:C398,[1]!Table3[Cantidad])</f>
        <v>49</v>
      </c>
      <c r="H192" s="10">
        <f>SUMIF([1]!Table2[Código Institucional],'[1]ENTRADA 6-05-2022'!C192:C398,[1]!Table2[Cantidad])</f>
        <v>43</v>
      </c>
      <c r="I192" s="20">
        <v>752</v>
      </c>
      <c r="J192" s="12">
        <f t="shared" si="4"/>
        <v>406.07999999999993</v>
      </c>
      <c r="K192" s="13">
        <f t="shared" si="5"/>
        <v>2662.08</v>
      </c>
    </row>
    <row r="193" spans="1:11" ht="17.25" x14ac:dyDescent="0.3">
      <c r="A193" s="21" t="s">
        <v>156</v>
      </c>
      <c r="B193" s="6">
        <v>44687</v>
      </c>
      <c r="C193" s="7">
        <v>2039</v>
      </c>
      <c r="D193" s="8" t="s">
        <v>194</v>
      </c>
      <c r="E193" s="9">
        <f>2+8</f>
        <v>10</v>
      </c>
      <c r="F193" s="19" t="s">
        <v>20</v>
      </c>
      <c r="G193" s="10">
        <f>SUMIF([1]!Table3[Código Institucional],'[1]ENTRADA 6-05-2022'!C193:C399,[1]!Table3[Cantidad])</f>
        <v>54</v>
      </c>
      <c r="H193" s="10">
        <f>SUMIF([1]!Table2[Código Institucional],'[1]ENTRADA 6-05-2022'!C193:C399,[1]!Table2[Cantidad])</f>
        <v>45</v>
      </c>
      <c r="I193" s="20">
        <v>31</v>
      </c>
      <c r="J193" s="12">
        <f t="shared" si="4"/>
        <v>55.8</v>
      </c>
      <c r="K193" s="13">
        <f t="shared" si="5"/>
        <v>365.8</v>
      </c>
    </row>
    <row r="194" spans="1:11" ht="17.25" x14ac:dyDescent="0.3">
      <c r="A194" s="21" t="s">
        <v>156</v>
      </c>
      <c r="B194" s="6">
        <v>44687</v>
      </c>
      <c r="C194" s="7">
        <v>2040</v>
      </c>
      <c r="D194" s="8" t="s">
        <v>195</v>
      </c>
      <c r="E194" s="9">
        <f>9+10</f>
        <v>19</v>
      </c>
      <c r="F194" s="19" t="s">
        <v>20</v>
      </c>
      <c r="G194" s="10">
        <f>SUMIF([1]!Table3[Código Institucional],'[1]ENTRADA 6-05-2022'!C194:C400,[1]!Table3[Cantidad])</f>
        <v>61</v>
      </c>
      <c r="H194" s="10">
        <f>SUMIF([1]!Table2[Código Institucional],'[1]ENTRADA 6-05-2022'!C194:C400,[1]!Table2[Cantidad])</f>
        <v>42</v>
      </c>
      <c r="I194" s="20">
        <v>112</v>
      </c>
      <c r="J194" s="12">
        <f t="shared" si="4"/>
        <v>383.04</v>
      </c>
      <c r="K194" s="13">
        <f t="shared" si="5"/>
        <v>2511.04</v>
      </c>
    </row>
    <row r="195" spans="1:11" ht="17.25" x14ac:dyDescent="0.3">
      <c r="A195" s="21" t="s">
        <v>156</v>
      </c>
      <c r="B195" s="6">
        <v>44687</v>
      </c>
      <c r="C195" s="7">
        <v>2041</v>
      </c>
      <c r="D195" s="8" t="s">
        <v>196</v>
      </c>
      <c r="E195" s="9">
        <f>7+8-1-1</f>
        <v>13</v>
      </c>
      <c r="F195" s="19" t="s">
        <v>20</v>
      </c>
      <c r="G195" s="10">
        <f>SUMIF([1]!Table3[Código Institucional],'[1]ENTRADA 6-05-2022'!C195:C401,[1]!Table3[Cantidad])</f>
        <v>20</v>
      </c>
      <c r="H195" s="10">
        <f>SUMIF([1]!Table2[Código Institucional],'[1]ENTRADA 6-05-2022'!C195:C401,[1]!Table2[Cantidad])</f>
        <v>16</v>
      </c>
      <c r="I195" s="20">
        <v>125</v>
      </c>
      <c r="J195" s="12">
        <f t="shared" si="4"/>
        <v>292.5</v>
      </c>
      <c r="K195" s="13">
        <f t="shared" si="5"/>
        <v>1917.5</v>
      </c>
    </row>
    <row r="196" spans="1:11" ht="17.25" x14ac:dyDescent="0.3">
      <c r="A196" s="21" t="s">
        <v>156</v>
      </c>
      <c r="B196" s="6">
        <v>44687</v>
      </c>
      <c r="C196" s="7">
        <v>2042</v>
      </c>
      <c r="D196" s="8" t="s">
        <v>197</v>
      </c>
      <c r="E196" s="9">
        <f>1+5</f>
        <v>6</v>
      </c>
      <c r="F196" s="19" t="s">
        <v>20</v>
      </c>
      <c r="G196" s="10">
        <f>SUMIF([1]!Table3[Código Institucional],'[1]ENTRADA 6-05-2022'!C196:C402,[1]!Table3[Cantidad])</f>
        <v>14</v>
      </c>
      <c r="H196" s="10">
        <f>SUMIF([1]!Table2[Código Institucional],'[1]ENTRADA 6-05-2022'!C196:C402,[1]!Table2[Cantidad])</f>
        <v>9</v>
      </c>
      <c r="I196" s="20">
        <v>56</v>
      </c>
      <c r="J196" s="12">
        <f t="shared" si="4"/>
        <v>60.480000000000004</v>
      </c>
      <c r="K196" s="13">
        <f t="shared" si="5"/>
        <v>396.48</v>
      </c>
    </row>
    <row r="197" spans="1:11" ht="17.25" x14ac:dyDescent="0.3">
      <c r="A197" s="21" t="s">
        <v>156</v>
      </c>
      <c r="B197" s="21" t="s">
        <v>158</v>
      </c>
      <c r="C197" s="7">
        <v>2043</v>
      </c>
      <c r="D197" s="8" t="s">
        <v>198</v>
      </c>
      <c r="E197" s="9">
        <f>31-2-1</f>
        <v>28</v>
      </c>
      <c r="F197" s="19" t="s">
        <v>99</v>
      </c>
      <c r="G197" s="10">
        <f>SUMIF([1]!Table3[Código Institucional],'[1]ENTRADA 6-05-2022'!C197:C403,[1]!Table3[Cantidad])</f>
        <v>40</v>
      </c>
      <c r="H197" s="10">
        <f>SUMIF([1]!Table2[Código Institucional],'[1]ENTRADA 6-05-2022'!C197:C403,[1]!Table2[Cantidad])</f>
        <v>11</v>
      </c>
      <c r="I197" s="20">
        <v>14.3</v>
      </c>
      <c r="J197" s="12">
        <f t="shared" si="4"/>
        <v>72.072000000000003</v>
      </c>
      <c r="K197" s="13">
        <f t="shared" si="5"/>
        <v>472.47200000000004</v>
      </c>
    </row>
    <row r="198" spans="1:11" ht="17.25" x14ac:dyDescent="0.3">
      <c r="A198" s="21" t="s">
        <v>156</v>
      </c>
      <c r="B198" s="6">
        <v>43731</v>
      </c>
      <c r="C198" s="7">
        <v>2044</v>
      </c>
      <c r="D198" s="8" t="s">
        <v>199</v>
      </c>
      <c r="E198" s="9">
        <f>5-1</f>
        <v>4</v>
      </c>
      <c r="F198" s="19" t="s">
        <v>99</v>
      </c>
      <c r="G198" s="10">
        <f>SUMIF([1]!Table3[Código Institucional],'[1]ENTRADA 6-05-2022'!C198:C404,[1]!Table3[Cantidad])</f>
        <v>10</v>
      </c>
      <c r="H198" s="10">
        <f>SUMIF([1]!Table2[Código Institucional],'[1]ENTRADA 6-05-2022'!C198:C404,[1]!Table2[Cantidad])</f>
        <v>4</v>
      </c>
      <c r="I198" s="20">
        <v>215</v>
      </c>
      <c r="J198" s="12">
        <f t="shared" si="4"/>
        <v>154.79999999999998</v>
      </c>
      <c r="K198" s="13">
        <f t="shared" si="5"/>
        <v>1014.8</v>
      </c>
    </row>
    <row r="199" spans="1:11" ht="17.25" x14ac:dyDescent="0.3">
      <c r="A199" s="21" t="s">
        <v>156</v>
      </c>
      <c r="B199" s="6">
        <v>44687</v>
      </c>
      <c r="C199" s="28">
        <v>2046</v>
      </c>
      <c r="D199" s="29" t="s">
        <v>200</v>
      </c>
      <c r="E199" s="9">
        <f>9+10-2-1</f>
        <v>16</v>
      </c>
      <c r="F199" s="19" t="s">
        <v>99</v>
      </c>
      <c r="G199" s="10">
        <f>SUMIF([1]!Table3[Código Institucional],'[1]ENTRADA 6-05-2022'!C199:C406,[1]!Table3[Cantidad])</f>
        <v>26</v>
      </c>
      <c r="H199" s="10">
        <f>SUMIF([1]!Table2[Código Institucional],'[1]ENTRADA 6-05-2022'!C199:C406,[1]!Table2[Cantidad])</f>
        <v>23</v>
      </c>
      <c r="I199" s="30">
        <v>105.94</v>
      </c>
      <c r="J199" s="31">
        <f t="shared" si="4"/>
        <v>305.10719999999998</v>
      </c>
      <c r="K199" s="13">
        <f t="shared" si="5"/>
        <v>2000.1471999999999</v>
      </c>
    </row>
    <row r="200" spans="1:11" ht="17.25" x14ac:dyDescent="0.3">
      <c r="A200" s="21" t="s">
        <v>156</v>
      </c>
      <c r="B200" s="6">
        <v>44687</v>
      </c>
      <c r="C200" s="28">
        <v>2047</v>
      </c>
      <c r="D200" s="29" t="s">
        <v>201</v>
      </c>
      <c r="E200" s="9">
        <f>2+10-2-1</f>
        <v>9</v>
      </c>
      <c r="F200" s="19" t="s">
        <v>99</v>
      </c>
      <c r="G200" s="10">
        <f>SUMIF([1]!Table3[Código Institucional],'[1]ENTRADA 6-05-2022'!C200:C407,[1]!Table3[Cantidad])</f>
        <v>20</v>
      </c>
      <c r="H200" s="10">
        <f>SUMIF([1]!Table2[Código Institucional],'[1]ENTRADA 6-05-2022'!C200:C407,[1]!Table2[Cantidad])</f>
        <v>21</v>
      </c>
      <c r="I200" s="30">
        <v>105.94</v>
      </c>
      <c r="J200" s="32">
        <f>I200*18%*E200</f>
        <v>171.62279999999998</v>
      </c>
      <c r="K200" s="13">
        <f>E200*I200+J200</f>
        <v>1125.0828000000001</v>
      </c>
    </row>
    <row r="201" spans="1:11" ht="17.25" x14ac:dyDescent="0.3">
      <c r="A201" s="21" t="s">
        <v>156</v>
      </c>
      <c r="B201" s="21" t="s">
        <v>158</v>
      </c>
      <c r="C201" s="28">
        <v>2048</v>
      </c>
      <c r="D201" s="29" t="s">
        <v>202</v>
      </c>
      <c r="E201" s="9">
        <f>30-8-12</f>
        <v>10</v>
      </c>
      <c r="F201" s="19" t="s">
        <v>99</v>
      </c>
      <c r="G201" s="10">
        <f>SUMIF([1]!Table3[Código Institucional],'[1]ENTRADA 6-05-2022'!C201:C408,[1]!Table3[Cantidad])</f>
        <v>15</v>
      </c>
      <c r="H201" s="10">
        <f>SUMIF([1]!Table2[Código Institucional],'[1]ENTRADA 6-05-2022'!C201:C408,[1]!Table2[Cantidad])</f>
        <v>13</v>
      </c>
      <c r="I201" s="30">
        <v>457</v>
      </c>
      <c r="J201" s="32">
        <f>I201*18%*E201</f>
        <v>822.59999999999991</v>
      </c>
      <c r="K201" s="13">
        <f>E201*I201+J201</f>
        <v>5392.6</v>
      </c>
    </row>
    <row r="202" spans="1:11" ht="17.25" x14ac:dyDescent="0.3">
      <c r="A202" s="21" t="s">
        <v>156</v>
      </c>
      <c r="B202" s="21" t="s">
        <v>158</v>
      </c>
      <c r="C202" s="28">
        <v>2049</v>
      </c>
      <c r="D202" s="29" t="s">
        <v>203</v>
      </c>
      <c r="E202" s="9">
        <f>4-1</f>
        <v>3</v>
      </c>
      <c r="F202" s="19" t="s">
        <v>99</v>
      </c>
      <c r="G202" s="10">
        <f>SUMIF([1]!Table3[Código Institucional],'[1]ENTRADA 6-05-2022'!C202:C409,[1]!Table3[Cantidad])</f>
        <v>6</v>
      </c>
      <c r="H202" s="10">
        <f>SUMIF([1]!Table2[Código Institucional],'[1]ENTRADA 6-05-2022'!C202:C409,[1]!Table2[Cantidad])</f>
        <v>4</v>
      </c>
      <c r="I202" s="30">
        <v>378</v>
      </c>
      <c r="J202" s="32">
        <f>I202*18%*E202</f>
        <v>204.11999999999998</v>
      </c>
      <c r="K202" s="13">
        <f>E202*I202+J202</f>
        <v>1338.12</v>
      </c>
    </row>
    <row r="203" spans="1:11" ht="17.25" hidden="1" x14ac:dyDescent="0.3">
      <c r="A203" s="21" t="s">
        <v>156</v>
      </c>
      <c r="B203" s="21" t="s">
        <v>158</v>
      </c>
      <c r="C203" s="28">
        <v>2050</v>
      </c>
      <c r="D203" s="29" t="s">
        <v>204</v>
      </c>
      <c r="E203" s="9">
        <f>Table167910[[#This Row],[Qty Entrada]]-Table167910[[#This Row],[Qty Salida]]</f>
        <v>0</v>
      </c>
      <c r="F203" s="19" t="s">
        <v>99</v>
      </c>
      <c r="G203" s="10">
        <f>SUMIF([1]!Table3[Código Institucional],'[1]ENTRADA 6-05-2022'!C203:C410,[1]!Table3[Cantidad])</f>
        <v>3</v>
      </c>
      <c r="H203" s="10">
        <f>SUMIF([1]!Table2[Código Institucional],'[1]ENTRADA 6-05-2022'!C203:C410,[1]!Table2[Cantidad])</f>
        <v>3</v>
      </c>
      <c r="I203" s="30">
        <v>160</v>
      </c>
      <c r="J203" s="32">
        <f>I203*18%*E203</f>
        <v>0</v>
      </c>
      <c r="K203" s="13">
        <f>E203*I203+J203</f>
        <v>0</v>
      </c>
    </row>
    <row r="204" spans="1:11" ht="15.75" x14ac:dyDescent="0.25">
      <c r="A204" s="33"/>
      <c r="C204" s="34"/>
      <c r="D204" s="35"/>
      <c r="J204" s="36"/>
      <c r="K204" s="42">
        <f>SUBTOTAL(109,Table167910[Valores RD$])+0.82</f>
        <v>409338.36419999989</v>
      </c>
    </row>
    <row r="205" spans="1:11" x14ac:dyDescent="0.25">
      <c r="K205" s="37"/>
    </row>
    <row r="206" spans="1:11" x14ac:dyDescent="0.25">
      <c r="I206" s="38"/>
      <c r="J206" s="40"/>
      <c r="K206" s="37"/>
    </row>
    <row r="207" spans="1:11" x14ac:dyDescent="0.25">
      <c r="J207" s="40"/>
      <c r="K207" s="41"/>
    </row>
    <row r="208" spans="1:11" x14ac:dyDescent="0.25">
      <c r="K208" s="37"/>
    </row>
    <row r="209" spans="11:11" x14ac:dyDescent="0.25">
      <c r="K209" s="37"/>
    </row>
    <row r="210" spans="11:11" x14ac:dyDescent="0.25">
      <c r="K210" s="39"/>
    </row>
    <row r="211" spans="11:11" x14ac:dyDescent="0.25">
      <c r="K211" s="39"/>
    </row>
    <row r="212" spans="11:11" x14ac:dyDescent="0.25">
      <c r="K212" s="39"/>
    </row>
    <row r="214" spans="11:11" x14ac:dyDescent="0.25">
      <c r="K214" s="39"/>
    </row>
    <row r="215" spans="11:11" x14ac:dyDescent="0.25">
      <c r="K215" s="39"/>
    </row>
  </sheetData>
  <mergeCells count="4">
    <mergeCell ref="A2:K2"/>
    <mergeCell ref="A3:K3"/>
    <mergeCell ref="A4:K4"/>
    <mergeCell ref="A1:K1"/>
  </mergeCells>
  <conditionalFormatting sqref="C6:K6">
    <cfRule type="duplicateValues" dxfId="22" priority="2"/>
  </conditionalFormatting>
  <dataValidations count="1">
    <dataValidation type="list" allowBlank="1" showInputMessage="1" showErrorMessage="1" sqref="F7:F199" xr:uid="{A7BA123D-F42F-4628-8F9C-14339CA612EC}">
      <formula1>"Caja,Fardo,Frasco,Funda,Galón,Paquete,Resma,Unidad,Yarda"</formula1>
    </dataValidation>
  </dataValidations>
  <printOptions horizontalCentered="1"/>
  <pageMargins left="0.25" right="0.25" top="0.75" bottom="0.75" header="0.3" footer="0.3"/>
  <pageSetup scale="59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Breny Maribel Castillo Balcacer</dc:creator>
  <cp:lastModifiedBy>Eddy Aybar</cp:lastModifiedBy>
  <cp:lastPrinted>2022-07-18T14:19:24Z</cp:lastPrinted>
  <dcterms:created xsi:type="dcterms:W3CDTF">2022-07-15T19:22:14Z</dcterms:created>
  <dcterms:modified xsi:type="dcterms:W3CDTF">2022-10-13T14:09:12Z</dcterms:modified>
</cp:coreProperties>
</file>